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416" windowWidth="13845" windowHeight="9780" activeTab="1"/>
  </bookViews>
  <sheets>
    <sheet name="Documentation" sheetId="1" r:id="rId1"/>
    <sheet name="Welcome" sheetId="2" r:id="rId2"/>
    <sheet name="Year" sheetId="3" r:id="rId3"/>
    <sheet name="Month" sheetId="4" r:id="rId4"/>
    <sheet name="Week" sheetId="5" r:id="rId5"/>
    <sheet name="Day" sheetId="6" r:id="rId6"/>
    <sheet name="Appointments" sheetId="7" r:id="rId7"/>
    <sheet name="Contacts" sheetId="8" r:id="rId8"/>
    <sheet name="Biorhythm" sheetId="9" r:id="rId9"/>
    <sheet name="Calculator" sheetId="10" r:id="rId10"/>
    <sheet name="Data" sheetId="11" r:id="rId11"/>
    <sheet name="Apts Data" sheetId="12" r:id="rId12"/>
    <sheet name="Contact Data" sheetId="13" r:id="rId13"/>
  </sheets>
  <definedNames>
    <definedName name="_xlnm._FilterDatabase" localSheetId="11" hidden="1">'Apts Data'!$A$1:$F$13</definedName>
    <definedName name="_xlnm._FilterDatabase" localSheetId="12" hidden="1">'Contact Data'!$A$1:$R$8</definedName>
    <definedName name="AllAptsData">OFFSET('Apts Data'!$A$2,0,0,[0]!AptsDataRows,AptsDataCols)</definedName>
    <definedName name="AllContactData">OFFSET('Contact Data'!$A$2,0,0,[0]!ConDataRows,ConDataCols)</definedName>
    <definedName name="AptsDataCols">'Data'!$R$14</definedName>
    <definedName name="AptsDataRange">'Data'!$R$22</definedName>
    <definedName name="AptsDataRows">'Data'!$R$6</definedName>
    <definedName name="AptsFirstCell">'Data'!$R$12</definedName>
    <definedName name="AptsFirstCol">'Data'!$R$8</definedName>
    <definedName name="AptsFirstRow">'Data'!$R$10</definedName>
    <definedName name="AptsLastCell">'Data'!$R$20</definedName>
    <definedName name="AptsLastCol">'Data'!$R$16</definedName>
    <definedName name="AptsLastPasted">'Data'!$R$28</definedName>
    <definedName name="AptsLastRow">'Data'!$R$18</definedName>
    <definedName name="AptsPasteCell">'Data'!$R$26</definedName>
    <definedName name="AptsPasteRange">'Data'!$R$30</definedName>
    <definedName name="AptsPasteRow">'Data'!$R$24</definedName>
    <definedName name="AptsRowsPasted">'Data'!$R$4</definedName>
    <definedName name="BioBirthDates">OFFSET('Data'!$K$1,1,0,COUNTA('Data'!$K:$K)-1,1)</definedName>
    <definedName name="BioCurrentBirthDate">'Data'!$B$33</definedName>
    <definedName name="BioCurrentName">'Data'!$B$32</definedName>
    <definedName name="BioData">'Data'!$C$36:$F$81</definedName>
    <definedName name="BioDates">'Data'!$C$37:$C$81</definedName>
    <definedName name="BioEmotional">'Data'!$E$37:$E$81</definedName>
    <definedName name="BioEmotionalTitle">'Data'!$E$36</definedName>
    <definedName name="BioIntellectual">'Data'!$F$37:$F$81</definedName>
    <definedName name="BioIntellectualTitle">'Data'!$F$36</definedName>
    <definedName name="BioNames">OFFSET('Data'!$J$1,1,0,COUNTA('Data'!$J:$J)-1,1)</definedName>
    <definedName name="BioNewName">'Biorhythm'!$C$5</definedName>
    <definedName name="BioPhysical">'Data'!$D$37:$D$81</definedName>
    <definedName name="BioPhysicalTitle">'Data'!$D$36</definedName>
    <definedName name="CalcAS">'Calculator'!$B$9</definedName>
    <definedName name="CalcDays">'Calculator'!$E$9</definedName>
    <definedName name="CalcMonths">'Calculator'!$K$9</definedName>
    <definedName name="CalcNat">'Calculator'!$B$29</definedName>
    <definedName name="CalcSex">'Calculator'!$E$29</definedName>
    <definedName name="CalcWeeks">'Calculator'!$H$9</definedName>
    <definedName name="CalcYears">'Calculator'!$N$9</definedName>
    <definedName name="ConDataCols">'Data'!$O$14</definedName>
    <definedName name="ConDataRange">'Data'!$O$22</definedName>
    <definedName name="ConDataRows">'Data'!$O$6</definedName>
    <definedName name="ConFirstCell">'Data'!$O$12</definedName>
    <definedName name="ConFirstCol">'Data'!$O$8</definedName>
    <definedName name="ConFirstRow">'Data'!$O$10</definedName>
    <definedName name="ConLastCell">'Data'!$O$20</definedName>
    <definedName name="ConLastCol">'Data'!$O$16</definedName>
    <definedName name="ConLastPasted">'Data'!$O$28</definedName>
    <definedName name="ConLastRow">'Data'!$O$18</definedName>
    <definedName name="ConPasteCell">'Data'!$O$26</definedName>
    <definedName name="ConPasteRange">'Data'!$O$30</definedName>
    <definedName name="ConPasteRow">'Data'!$O$24</definedName>
    <definedName name="ConRowsPasted">'Data'!$O$4</definedName>
    <definedName name="ContactFirstCell">'Data'!$O$12</definedName>
    <definedName name="ContactHeaders">'Data'!$M$3:$M$21</definedName>
    <definedName name="CRITERIA" localSheetId="11">'Apts Data'!$A$5</definedName>
    <definedName name="CRITERIA" localSheetId="12">'Contact Data'!#REF!</definedName>
    <definedName name="currentDate">'Data'!$G$6</definedName>
    <definedName name="currentDay">'Data'!$G$8</definedName>
    <definedName name="currentDayIndex">'Data'!$G$7</definedName>
    <definedName name="currentDayth">'Data'!$G$9</definedName>
    <definedName name="currentMonth">'Data'!$G$11</definedName>
    <definedName name="currentMonthDays">'Data'!$G$15</definedName>
    <definedName name="currentMonthIndex">'Data'!$G$10</definedName>
    <definedName name="currentmonthStartDay">'Data'!$G$14</definedName>
    <definedName name="currentmonthStartIndex">'Data'!$G$13</definedName>
    <definedName name="currentWeek">'Data'!$G$16</definedName>
    <definedName name="currentWeekDayIndex">'Data'!$G$7</definedName>
    <definedName name="currentWeekStart">'Data'!$G$17</definedName>
    <definedName name="currentYear">'Data'!$G$12</definedName>
    <definedName name="currrentMonthIndex">'Data'!$G$10</definedName>
    <definedName name="DateCalc1">'Calculator'!$B$5</definedName>
    <definedName name="DateCalc2">'Calculator'!$G$5</definedName>
    <definedName name="DateCalc3">'Calculator'!$L$5</definedName>
    <definedName name="dayNames">'Data'!$A$6:$A$12</definedName>
    <definedName name="monthDays">'Data'!$C$6:$C$17</definedName>
    <definedName name="monthNames">'Data'!$B$6:$B$17</definedName>
    <definedName name="monthStartDay">'Data'!$E$6:$E$17</definedName>
    <definedName name="monthStartIndex">'Data'!$D$6:$D$17</definedName>
    <definedName name="NewBioDOB">'Biorhythm'!$I$5</definedName>
    <definedName name="NewBioName">'Biorhythm'!$F$5</definedName>
    <definedName name="srchDate1">'Data'!$R$32</definedName>
    <definedName name="srchDate2">'Data'!$R$34</definedName>
    <definedName name="userDate">'Data'!$H$6</definedName>
    <definedName name="userDay">'Data'!$H$8</definedName>
    <definedName name="userDayIndex">'Data'!$H$7</definedName>
    <definedName name="userDayth">'Data'!$H$9</definedName>
    <definedName name="userMonth">'Data'!$H$11</definedName>
    <definedName name="userMonthDays">'Data'!$H$15</definedName>
    <definedName name="userMonthIndex">'Data'!$H$10</definedName>
    <definedName name="userMonthStartDay">'Data'!$H$14</definedName>
    <definedName name="userMonthStartIndex">'Data'!$H$13</definedName>
    <definedName name="userNewDate">'Data'!$H$18</definedName>
    <definedName name="userNewDayth">'Data'!$H$19</definedName>
    <definedName name="userNewMonthIndex">'Data'!$H$20</definedName>
    <definedName name="userNewYear">'Data'!$H$21</definedName>
    <definedName name="userWeek">'Data'!$H$16</definedName>
    <definedName name="userWeekStart">'Data'!$H$17</definedName>
    <definedName name="userYear">'Data'!$H$12</definedName>
    <definedName name="welcomeElapsed">'Welcome'!$I$1</definedName>
    <definedName name="welcomeSalut">'Welcome'!$A$3</definedName>
    <definedName name="welcomeTime">'Welcome'!$F$1</definedName>
  </definedNames>
  <calcPr fullCalcOnLoad="1"/>
</workbook>
</file>

<file path=xl/sharedStrings.xml><?xml version="1.0" encoding="utf-8"?>
<sst xmlns="http://schemas.openxmlformats.org/spreadsheetml/2006/main" count="783" uniqueCount="405">
  <si>
    <t>Author:</t>
  </si>
  <si>
    <t>Ray Thomas</t>
  </si>
  <si>
    <t>3rd June 2004</t>
  </si>
  <si>
    <t>Description:</t>
  </si>
  <si>
    <t>Title:</t>
  </si>
  <si>
    <t>Notes:</t>
  </si>
  <si>
    <t>Today is:</t>
  </si>
  <si>
    <t>The time is:</t>
  </si>
  <si>
    <t>Time elapsed:</t>
  </si>
  <si>
    <t>Biorhythm</t>
  </si>
  <si>
    <t>Welcome to Ray's Memory Minder</t>
  </si>
  <si>
    <t>Welcome</t>
  </si>
  <si>
    <t>Formatted date function</t>
  </si>
  <si>
    <t>Clock - Macro and VBA - startclock and updateClock</t>
  </si>
  <si>
    <t>Timer - Macro and VBA - updateClock</t>
  </si>
  <si>
    <t>Salutation - Macro and VBA - salut</t>
  </si>
  <si>
    <t>Appointments</t>
  </si>
  <si>
    <t>Calculator</t>
  </si>
  <si>
    <t>Data</t>
  </si>
  <si>
    <t>Ray's Memory Minder</t>
  </si>
  <si>
    <t>Reds</t>
  </si>
  <si>
    <t>Protected areas</t>
  </si>
  <si>
    <t>Greens</t>
  </si>
  <si>
    <t>User changeable areas</t>
  </si>
  <si>
    <t>Blues</t>
  </si>
  <si>
    <t>Variable areas - changed via programming</t>
  </si>
  <si>
    <t>The Worksheets</t>
  </si>
  <si>
    <t>A3</t>
  </si>
  <si>
    <t>A calendar showing a year to a page</t>
  </si>
  <si>
    <t>A calendar showing a month to a page</t>
  </si>
  <si>
    <t>View and edit your appointments</t>
  </si>
  <si>
    <t>View and edit your address book</t>
  </si>
  <si>
    <t>View your biothythm chart</t>
  </si>
  <si>
    <t>Date / time calculators</t>
  </si>
  <si>
    <t>There are buttons on the page that jump to sheets in the workbook using macros</t>
  </si>
  <si>
    <t>Date Started:</t>
  </si>
  <si>
    <t>Background Colour Coding</t>
  </si>
  <si>
    <t>A protected worksheet</t>
  </si>
  <si>
    <t>Monday</t>
  </si>
  <si>
    <t>Tuesday</t>
  </si>
  <si>
    <t>Wednesday</t>
  </si>
  <si>
    <t>Thursday</t>
  </si>
  <si>
    <t>Friday</t>
  </si>
  <si>
    <t>Saturday</t>
  </si>
  <si>
    <t>Sunday</t>
  </si>
  <si>
    <t>January</t>
  </si>
  <si>
    <t>February</t>
  </si>
  <si>
    <t>March</t>
  </si>
  <si>
    <t>April</t>
  </si>
  <si>
    <t>May</t>
  </si>
  <si>
    <t>June</t>
  </si>
  <si>
    <t>July</t>
  </si>
  <si>
    <t>September</t>
  </si>
  <si>
    <t>August</t>
  </si>
  <si>
    <t>October</t>
  </si>
  <si>
    <t>November</t>
  </si>
  <si>
    <t>December</t>
  </si>
  <si>
    <t>Days in month</t>
  </si>
  <si>
    <t>Year:</t>
  </si>
  <si>
    <t>Month:</t>
  </si>
  <si>
    <t>monthNames</t>
  </si>
  <si>
    <t>calculated using WEEKDAY(DATE(serial_number, return type)</t>
  </si>
  <si>
    <t>dayNames</t>
  </si>
  <si>
    <t>The sheet contains named ranges, indexes to those named ranges and various time / date functions</t>
  </si>
  <si>
    <t>Day of first of the month</t>
  </si>
  <si>
    <t>Month Calendar</t>
  </si>
  <si>
    <t>Combo box linked to monthNames range on data sheet</t>
  </si>
  <si>
    <t>Year scroll bar - range is set using control properties, result written to Data sheet</t>
  </si>
  <si>
    <t>This Month button, gets todays date from Data sheet, a macro gets that data and updates the linked cells</t>
  </si>
  <si>
    <t>Main heading - gets the variable data from the Data sheet linked cells</t>
  </si>
  <si>
    <t>Macros must be enabled for this worksheet to function</t>
  </si>
  <si>
    <t>The main calendar is a series of IF statements, linked to the start and end of the month named cells on the data page</t>
  </si>
  <si>
    <t>M</t>
  </si>
  <si>
    <t>T</t>
  </si>
  <si>
    <t>W</t>
  </si>
  <si>
    <t>F</t>
  </si>
  <si>
    <t>S</t>
  </si>
  <si>
    <t>monthDays</t>
  </si>
  <si>
    <t>monthStartDay</t>
  </si>
  <si>
    <t>Current Date</t>
  </si>
  <si>
    <t>User Date</t>
  </si>
  <si>
    <t>monthStartIndex</t>
  </si>
  <si>
    <t xml:space="preserve">There is an error in Excel concerning the year 1900! Excel thinks 1900 was a leap year! </t>
  </si>
  <si>
    <t>See http://support.microsoft.com/default.aspx?scid=kb;EN-US;q181370</t>
  </si>
  <si>
    <t>This is the reason that this workbook will not allow dates earlier than 1901</t>
  </si>
  <si>
    <t>Year Calendar</t>
  </si>
  <si>
    <t>This Year button, gets todays year from Data sheet, a macro gets that data and updates the linked cells</t>
  </si>
  <si>
    <t>Some Calculations</t>
  </si>
  <si>
    <t>calculated using DAY(DATE(YEAR(serial_number),MONTH(serial_number)+1,1)-1)</t>
  </si>
  <si>
    <t>It cannot be protected because of the writing that needs to be done to this sheet</t>
  </si>
  <si>
    <t>Week Planner</t>
  </si>
  <si>
    <t>Contacts</t>
  </si>
  <si>
    <t>Apparently, this was because when Excel was first made it used the same formula from Lotus 1-2-3, which was also wrong</t>
  </si>
  <si>
    <t>Altering anything on this sheet may cause the entire workbook to not function as intended!</t>
  </si>
  <si>
    <t>This worksheet contains the data for the rest of the workbook. It would normally be hidden from the user.</t>
  </si>
  <si>
    <t>Title</t>
  </si>
  <si>
    <t>Surname</t>
  </si>
  <si>
    <t>Initial</t>
  </si>
  <si>
    <t>Address1</t>
  </si>
  <si>
    <t>Address2</t>
  </si>
  <si>
    <t>City</t>
  </si>
  <si>
    <t>State</t>
  </si>
  <si>
    <t>Zip Code</t>
  </si>
  <si>
    <t>Email home</t>
  </si>
  <si>
    <t>Email work</t>
  </si>
  <si>
    <t>Group</t>
  </si>
  <si>
    <t>Birthday</t>
  </si>
  <si>
    <t>Home Phone #</t>
  </si>
  <si>
    <t>Cell Phone #</t>
  </si>
  <si>
    <t>Work Phone #</t>
  </si>
  <si>
    <t>Web Page</t>
  </si>
  <si>
    <t>This contains most of the data needed for the rest of the workbook - it would normally be hidden</t>
  </si>
  <si>
    <t>Contact Data</t>
  </si>
  <si>
    <t>This sheet contains data for the contacts sheet.</t>
  </si>
  <si>
    <t>The Monday of the week containing a date</t>
  </si>
  <si>
    <t>Date</t>
  </si>
  <si>
    <t>Weekday Index</t>
  </si>
  <si>
    <t>Weekday</t>
  </si>
  <si>
    <t>Day</t>
  </si>
  <si>
    <t>Month</t>
  </si>
  <si>
    <t>Month Index</t>
  </si>
  <si>
    <t>Year</t>
  </si>
  <si>
    <t>Week Number</t>
  </si>
  <si>
    <t>First Day of Month Index</t>
  </si>
  <si>
    <t>First Day of Month</t>
  </si>
  <si>
    <t>Days in Month</t>
  </si>
  <si>
    <t>Start of Week Date</t>
  </si>
  <si>
    <t>calculated using DATE(serial_number)-WEEKDAY(DATE(serial_number,2))+1</t>
  </si>
  <si>
    <t>Week:</t>
  </si>
  <si>
    <t>General</t>
  </si>
  <si>
    <t>As the clock on the Welcome sheet is updated every second, so the whole workbook also updates as well, this made writing it a lot easier</t>
  </si>
  <si>
    <t>As the day, months and years are changed by the user then they are changed across all the sheets,</t>
  </si>
  <si>
    <t>New Date</t>
  </si>
  <si>
    <t>New Day</t>
  </si>
  <si>
    <t>New Month</t>
  </si>
  <si>
    <t>New Year</t>
  </si>
  <si>
    <t>C1</t>
  </si>
  <si>
    <t>F1</t>
  </si>
  <si>
    <t>I1</t>
  </si>
  <si>
    <t>This is linked to the userNewDate on the Data sheet, after that the user day, month dand year cells are all updated</t>
  </si>
  <si>
    <t>Buttons that add or subtract 7 days from the user chosen date - Macro and VBA</t>
  </si>
  <si>
    <t>This Week button, changes userDate to current date - Macro and VBA</t>
  </si>
  <si>
    <t>Main heading - gets the variable data from the Data sheet user date cells</t>
  </si>
  <si>
    <t>This sheet contains data for the Appointments and Week sheets.</t>
  </si>
  <si>
    <t>Text</t>
  </si>
  <si>
    <t>Dentists</t>
  </si>
  <si>
    <t>Interview</t>
  </si>
  <si>
    <t>Doctor</t>
  </si>
  <si>
    <t>Lunch with family</t>
  </si>
  <si>
    <t>All day meeting</t>
  </si>
  <si>
    <t>A very long piece of text, just to fill this line up to see how it will behave when added to the form and put into the weekly and appointment forms, so there!</t>
  </si>
  <si>
    <t>Miss</t>
  </si>
  <si>
    <t>Betty</t>
  </si>
  <si>
    <t>Blue</t>
  </si>
  <si>
    <t>A</t>
  </si>
  <si>
    <t>Any Town</t>
  </si>
  <si>
    <t>IN</t>
  </si>
  <si>
    <t>BBlue@any.com</t>
  </si>
  <si>
    <t>Bblue.com</t>
  </si>
  <si>
    <t>Friend</t>
  </si>
  <si>
    <t>Mr</t>
  </si>
  <si>
    <t>Mike</t>
  </si>
  <si>
    <t>B</t>
  </si>
  <si>
    <t>Mustard</t>
  </si>
  <si>
    <t>Your Town</t>
  </si>
  <si>
    <t>IL</t>
  </si>
  <si>
    <t>mmustard@your.com</t>
  </si>
  <si>
    <t>your.com</t>
  </si>
  <si>
    <t>Business</t>
  </si>
  <si>
    <t>Police</t>
  </si>
  <si>
    <t>Emergency</t>
  </si>
  <si>
    <t>Mauve</t>
  </si>
  <si>
    <t>Moreen</t>
  </si>
  <si>
    <t>C</t>
  </si>
  <si>
    <t>Myville</t>
  </si>
  <si>
    <t>Tan</t>
  </si>
  <si>
    <t>Ms</t>
  </si>
  <si>
    <t>Dr</t>
  </si>
  <si>
    <t>Tony</t>
  </si>
  <si>
    <t>D</t>
  </si>
  <si>
    <t>54 Your St.</t>
  </si>
  <si>
    <t>341 Their Bld.</t>
  </si>
  <si>
    <t>Their City</t>
  </si>
  <si>
    <t>Purple</t>
  </si>
  <si>
    <t>Peter</t>
  </si>
  <si>
    <t>E</t>
  </si>
  <si>
    <t>Us Town</t>
  </si>
  <si>
    <t>Ppurple@us.com</t>
  </si>
  <si>
    <t>Red</t>
  </si>
  <si>
    <t>Mrs</t>
  </si>
  <si>
    <t>Ruby</t>
  </si>
  <si>
    <t>86 Them St.</t>
  </si>
  <si>
    <t>Them City</t>
  </si>
  <si>
    <t>Biorythm Data</t>
  </si>
  <si>
    <t>Days Elapsed</t>
  </si>
  <si>
    <t>Period:</t>
  </si>
  <si>
    <t>Since Birth Date</t>
  </si>
  <si>
    <t>Physical</t>
  </si>
  <si>
    <t>Emotional</t>
  </si>
  <si>
    <t>Intellectual</t>
  </si>
  <si>
    <t>Current Name:</t>
  </si>
  <si>
    <t>Current Birth Date:</t>
  </si>
  <si>
    <t>Patty Thomas</t>
  </si>
  <si>
    <t>Dynamic data for the biorythm chart</t>
  </si>
  <si>
    <t>3D chart based on dynamic data in the Data spreadsheet</t>
  </si>
  <si>
    <t>For a new chart either choose from the drop down list, or type a new name and birthdate and click on the Add Name button</t>
  </si>
  <si>
    <t>New Name:</t>
  </si>
  <si>
    <t>D.O.B.</t>
  </si>
  <si>
    <t xml:space="preserve">Remember: Data is not accepted until Enter or Tab is pressed </t>
  </si>
  <si>
    <t>BioNames</t>
  </si>
  <si>
    <t>BioBirthDates</t>
  </si>
  <si>
    <t>Data validation - for recognised and new names see the VBA code for the macro BioAddName_click()</t>
  </si>
  <si>
    <t>This function works with the dynamic data range BioNames and BioBirthDates</t>
  </si>
  <si>
    <t>to validate, select, find the next blank cells and sort the dynamic range</t>
  </si>
  <si>
    <t>Dynamic range for the biohythm names and birth dates -  - the form for this is =OFFSET(Data!$J$1,1,0,COUNTA(Data!$J:$J)-1,1)</t>
  </si>
  <si>
    <t>VLOOKUP function to get the birthday of the name for the biorhythm chart</t>
  </si>
  <si>
    <t>this can easily be changed by not linking them to the user date section of the Data sheet</t>
  </si>
  <si>
    <t>Project Checklist</t>
  </si>
  <si>
    <t>1 - Documentation</t>
  </si>
  <si>
    <t>The four required items, title, date, author and description appear on the top of this page</t>
  </si>
  <si>
    <t>2 - Input</t>
  </si>
  <si>
    <t>Most of the pages contain some sort of user input - buttons, sliders and validated cells.</t>
  </si>
  <si>
    <t>Absolute cell references and ranges are used throughout the workbook</t>
  </si>
  <si>
    <t>3 - Range Names</t>
  </si>
  <si>
    <t>Nearly all the sheets contain range names, there are over 50 of them in this workbook</t>
  </si>
  <si>
    <t>4 - Functions &amp; Calculations</t>
  </si>
  <si>
    <t>There are many of these in the workbook. Examples are VLOOKUP, COUNTA, OFFSET as well as many time and date functions</t>
  </si>
  <si>
    <t>The biorhythm data is dynamic and is changed according to the user preferences, this is used to produced the biorythm chart</t>
  </si>
  <si>
    <t>5 - Output</t>
  </si>
  <si>
    <t>In most cases the output is dependant on the controls the user selects, especially on the calendar pages</t>
  </si>
  <si>
    <t>The biorhythm chart is the output from the user input in that sheet</t>
  </si>
  <si>
    <t>6 - Tab Names</t>
  </si>
  <si>
    <t>The tabs have been renamed to match the content of the sheets</t>
  </si>
  <si>
    <t>Several functions, macros and VBA codes refer to the these named sheets</t>
  </si>
  <si>
    <t>7 - Data Validation</t>
  </si>
  <si>
    <t>Most of the validation is done through VBA, it should not be possible for the user to input erroneous data using the controls</t>
  </si>
  <si>
    <t>The input cells have been formatted to accept only certain data types</t>
  </si>
  <si>
    <t xml:space="preserve">For example, data vlaidation is done through Exce's validation tools on the user input cells on the biorhythm page, but </t>
  </si>
  <si>
    <t>Other functions, such as SORT take place inside the macro code</t>
  </si>
  <si>
    <t>8 - Range Names in formulas</t>
  </si>
  <si>
    <t>Due to the complexity of some of the functions range names have been used in nearly all the functions</t>
  </si>
  <si>
    <t>9 - Test Data</t>
  </si>
  <si>
    <t xml:space="preserve">Extensive testing has taken place during the making of this workbook. </t>
  </si>
  <si>
    <t xml:space="preserve">For example, the formula for the dynamic biorhythm data ranges took hours to correct when I found that removing parts of the  </t>
  </si>
  <si>
    <t xml:space="preserve">data directly on the Data sheet caused problems with the calculations to define and sort the dynamic data range </t>
  </si>
  <si>
    <t>10 - Macros and buttons</t>
  </si>
  <si>
    <t>There are over 20 macros in the workbook. Some were made using the Macro Recorder, others were written directly using VBA</t>
  </si>
  <si>
    <t>Many of these are attached to buttons, others are used automatically to check and sort data</t>
  </si>
  <si>
    <t>11 - Cell Protection</t>
  </si>
  <si>
    <t>All the sheets have protection</t>
  </si>
  <si>
    <t>The Data sheet, should be hidden completely from the user</t>
  </si>
  <si>
    <t>12 - Testing</t>
  </si>
  <si>
    <t>Test data has been entered into the relevant sheets</t>
  </si>
  <si>
    <t>The next 2 columns</t>
  </si>
  <si>
    <t xml:space="preserve">DO NOT put any </t>
  </si>
  <si>
    <t>non-related data into</t>
  </si>
  <si>
    <t>columns J or K</t>
  </si>
  <si>
    <t>are the dynamic</t>
  </si>
  <si>
    <t>ranges for use with</t>
  </si>
  <si>
    <t>the Biorhythm page</t>
  </si>
  <si>
    <t>Date Calculators</t>
  </si>
  <si>
    <t>Critical days are thos days where the graph crosses the zero point. Double and triple critical days are thought to be especially troublesome.</t>
  </si>
  <si>
    <t>Date 1:</t>
  </si>
  <si>
    <t>Date 2:</t>
  </si>
  <si>
    <t>Days:</t>
  </si>
  <si>
    <t>Months:</t>
  </si>
  <si>
    <t>Years:</t>
  </si>
  <si>
    <t>Weeks:</t>
  </si>
  <si>
    <t>Date 3:</t>
  </si>
  <si>
    <t>Enter dates into the Date 1 and Date 2 below. Aspects of those dates will appear below them.</t>
  </si>
  <si>
    <t>Between Date 1 and Date 2 there are :-</t>
  </si>
  <si>
    <t>Between Date 1 and Date 3 there are :-</t>
  </si>
  <si>
    <t>&lt; Days &gt;</t>
  </si>
  <si>
    <t>&lt; Complete Months &gt;</t>
  </si>
  <si>
    <t>Between Date 1 and Today there are :-</t>
  </si>
  <si>
    <t>&lt; Working Days &gt;</t>
  </si>
  <si>
    <t>&lt; Complete Weeks &gt;</t>
  </si>
  <si>
    <t>You may also place a date into Date 1 and add or subtract a number of days, weeks, months or years to that date, the result will show in Date 3.</t>
  </si>
  <si>
    <t>The following are based on the dates for the year specified in Date 1, Date2 and Date3</t>
  </si>
  <si>
    <t>Days elapsed from the start of the year</t>
  </si>
  <si>
    <t>Today</t>
  </si>
  <si>
    <t>Date 1</t>
  </si>
  <si>
    <t>Date 2</t>
  </si>
  <si>
    <t>Date 3</t>
  </si>
  <si>
    <t>Days left in the year</t>
  </si>
  <si>
    <t>which is…</t>
  </si>
  <si>
    <t>From Start of Year to Year's End</t>
  </si>
  <si>
    <t>This year</t>
  </si>
  <si>
    <t>Days to next</t>
  </si>
  <si>
    <t>May Bank holiday (UK) - First Monday in May</t>
  </si>
  <si>
    <t>Christmas Day - 25th December</t>
  </si>
  <si>
    <t>Holidays, Festivals and Rememberance Days</t>
  </si>
  <si>
    <t>Next (if past)</t>
  </si>
  <si>
    <t>Next (if passed)</t>
  </si>
  <si>
    <t>Guy Fawkes Day - Bonfire Night (UK) - 5th November</t>
  </si>
  <si>
    <t>Easter</t>
  </si>
  <si>
    <t>Presidents Day - Third Monday in Februay</t>
  </si>
  <si>
    <t>Martin Luther King Day - Third Monday in January</t>
  </si>
  <si>
    <t>Thanksgiving - Fourth Thursday in November</t>
  </si>
  <si>
    <t>Rememberance Day (UK) - Veterans Day (US) - 11th November</t>
  </si>
  <si>
    <t>Spring Bank Holiday (UK) - Memorial Day (US) - Last Monday in May</t>
  </si>
  <si>
    <t>Summer Bank Holiday (UK) - Last Monday in August</t>
  </si>
  <si>
    <t>Independence Day - 4th July</t>
  </si>
  <si>
    <t>Labor Day - First Monday in September</t>
  </si>
  <si>
    <t>Columbus Day - Second Monday in October</t>
  </si>
  <si>
    <t>Groundhog Day - 2nd February</t>
  </si>
  <si>
    <t>Valentine's Day - 14th February</t>
  </si>
  <si>
    <t>St. Patrick's Day - 17th March</t>
  </si>
  <si>
    <t>April Fools - 1st April</t>
  </si>
  <si>
    <t>Halloween - 31st October</t>
  </si>
  <si>
    <t>St. George's Day (UK) - 23rd April</t>
  </si>
  <si>
    <t>The holiday data came from http://www.smart.net/~mmontes/ushols.html</t>
  </si>
  <si>
    <t>Various built-in and VBA date functions</t>
  </si>
  <si>
    <t>Calculation of various holiday dates</t>
  </si>
  <si>
    <t>Some of the functions were adapted from http://www.cpearson.com/excel/datedif.htm</t>
  </si>
  <si>
    <t>(546) 543-5643</t>
  </si>
  <si>
    <t>Contact Headers</t>
  </si>
  <si>
    <t>All</t>
  </si>
  <si>
    <t>Removes blank lines for "Contact Data" sheet</t>
  </si>
  <si>
    <t>Data entry form to search for specific contact information</t>
  </si>
  <si>
    <t>In fact, much of the code was rewritten because some of the formulas failed under some circumstances</t>
  </si>
  <si>
    <t>this is also checked in the macro used by the "Add Name" button which produces it's own error message should the data not be correct</t>
  </si>
  <si>
    <t>Other functions and macros delete blank lines from data sheets and automatically resize the ranges</t>
  </si>
  <si>
    <t>Address 2</t>
  </si>
  <si>
    <t>Forename</t>
  </si>
  <si>
    <t>Company</t>
  </si>
  <si>
    <t>Burnem Coy</t>
  </si>
  <si>
    <t>54 Any Road</t>
  </si>
  <si>
    <t>Raymond</t>
  </si>
  <si>
    <t>Me Coy</t>
  </si>
  <si>
    <t>116 Barton Avenue</t>
  </si>
  <si>
    <t>Terre Haute</t>
  </si>
  <si>
    <t>brisray@yahoo.co.uk</t>
  </si>
  <si>
    <t>Thomas</t>
  </si>
  <si>
    <t>Personal</t>
  </si>
  <si>
    <t>Data entry form for editing Contact Data</t>
  </si>
  <si>
    <t>Custom formatted cells for birthdays</t>
  </si>
  <si>
    <t>Data entry forms are used on the contact sheet to view and edit the Contact Data sheet</t>
  </si>
  <si>
    <t>This has been a great help, especially as the Data sheet has been changed several times during the making of this workbook</t>
  </si>
  <si>
    <t>Some of the ranges are dynamic - they change depending on the number of data rows.</t>
  </si>
  <si>
    <t>These include AllContactData, BioBirthDates and BioNames</t>
  </si>
  <si>
    <t>Start Date</t>
  </si>
  <si>
    <t>Start Time</t>
  </si>
  <si>
    <t>End Date</t>
  </si>
  <si>
    <t>End Time</t>
  </si>
  <si>
    <t>Highlight Colour</t>
  </si>
  <si>
    <t>Contact Data Information</t>
  </si>
  <si>
    <t>A "memory minder" which includes various calendars and planners, date calculators and a biorhythm chart</t>
  </si>
  <si>
    <t>Time Left to Live</t>
  </si>
  <si>
    <t xml:space="preserve">Statistically, you will die on </t>
  </si>
  <si>
    <t>Statistically, the days left to you are</t>
  </si>
  <si>
    <t>which is in…</t>
  </si>
  <si>
    <t>A deliciously gruesome calculation. Enter your birthday in Date 1 above. Then choose from the drop down lists</t>
  </si>
  <si>
    <t>A planner showing a week to a page</t>
  </si>
  <si>
    <t>A planner showing a day to a page</t>
  </si>
  <si>
    <t>Day:</t>
  </si>
  <si>
    <t>Apts Data</t>
  </si>
  <si>
    <t>Day Planner</t>
  </si>
  <si>
    <t>Buttons that add or subtract 1 day from the user chosen date - Macro and VBA</t>
  </si>
  <si>
    <t>Appointments Data information</t>
  </si>
  <si>
    <t>AptsRowsPasted</t>
  </si>
  <si>
    <t>A2</t>
  </si>
  <si>
    <t>ConRowsPasted</t>
  </si>
  <si>
    <t>ConDataRows</t>
  </si>
  <si>
    <t>AptsFirstCell</t>
  </si>
  <si>
    <t>ConFirstCell</t>
  </si>
  <si>
    <t>ConDataCols</t>
  </si>
  <si>
    <t>ConLastCell</t>
  </si>
  <si>
    <t>ContFirstRow</t>
  </si>
  <si>
    <t>ConFirstCol</t>
  </si>
  <si>
    <t>ConLastCol</t>
  </si>
  <si>
    <t>R</t>
  </si>
  <si>
    <t>ConLastRow</t>
  </si>
  <si>
    <t>ConDataRange</t>
  </si>
  <si>
    <t>AptsFirstRow</t>
  </si>
  <si>
    <t>AptsFirstCol</t>
  </si>
  <si>
    <t>AptsDataCols</t>
  </si>
  <si>
    <t>AptsDataRows</t>
  </si>
  <si>
    <t>AptsLastCol</t>
  </si>
  <si>
    <t>AptsLastRow</t>
  </si>
  <si>
    <t>AptsLastCell</t>
  </si>
  <si>
    <t>AptsDataRange</t>
  </si>
  <si>
    <t>ConPasteCell</t>
  </si>
  <si>
    <t>ConPasteRange</t>
  </si>
  <si>
    <t>ConPasteRow</t>
  </si>
  <si>
    <t>AptsPasteRow</t>
  </si>
  <si>
    <t>AptsPasteCell</t>
  </si>
  <si>
    <t>AptsPasteRange</t>
  </si>
  <si>
    <t>British</t>
  </si>
  <si>
    <t>Add</t>
  </si>
  <si>
    <t>Holiday</t>
  </si>
  <si>
    <t>Write this workbook</t>
  </si>
  <si>
    <t>Something else to do</t>
  </si>
  <si>
    <t>More stuff to do!</t>
  </si>
  <si>
    <t>A long day!</t>
  </si>
  <si>
    <t>9am</t>
  </si>
  <si>
    <t>Still testing data</t>
  </si>
  <si>
    <t>ConLastPasted</t>
  </si>
  <si>
    <t>AptsLastPasted</t>
  </si>
  <si>
    <t>srchDate1</t>
  </si>
  <si>
    <t>srchDate2</t>
  </si>
  <si>
    <t>Removes blank lines for "Apts Data" sheet</t>
  </si>
  <si>
    <t>Data entry form for editing Apts Data</t>
  </si>
  <si>
    <t>Good evening...</t>
  </si>
  <si>
    <t>Female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</si>
</sst>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h:mm:ss\ AM/PM"/>
    <numFmt numFmtId="167" formatCode="h:mm:ss;@"/>
    <numFmt numFmtId="168" formatCode="&quot;Yes&quot;;&quot;Yes&quot;;&quot;No&quot;"/>
    <numFmt numFmtId="169" formatCode="&quot;True&quot;;&quot;True&quot;;&quot;False&quot;"/>
    <numFmt numFmtId="170" formatCode="&quot;On&quot;;&quot;On&quot;;&quot;Off&quot;"/>
    <numFmt numFmtId="171" formatCode="[$€-2]\ #,##0.00_);[Red]\([$€-2]\ #,##0.00\)"/>
    <numFmt numFmtId="172" formatCode="mmm"/>
    <numFmt numFmtId="173" formatCode="00000\-0000"/>
    <numFmt numFmtId="174" formatCode="[&lt;=9999999]###\-####;\(###\)\ ###\-####"/>
    <numFmt numFmtId="175" formatCode="[$-409]d\-mmm\-yy;@"/>
    <numFmt numFmtId="176" formatCode="[$-409]h:mm\ AM/PM;@"/>
    <numFmt numFmtId="177" formatCode="h:mm;@"/>
    <numFmt numFmtId="178" formatCode="00000"/>
    <numFmt numFmtId="179" formatCode="[$-409]d\-mmm;@"/>
    <numFmt numFmtId="180" formatCode="[$-409]mmmm\ d\,\ yyyy;@"/>
    <numFmt numFmtId="181" formatCode="0.00000000"/>
    <numFmt numFmtId="182" formatCode="[$-409]mmm\-yy;@"/>
    <numFmt numFmtId="183" formatCode="[$-409]mmmm\-yy;@"/>
    <numFmt numFmtId="184" formatCode="dd\ mmm"/>
    <numFmt numFmtId="185" formatCode="dd\ mmm\ yyyy"/>
    <numFmt numFmtId="186" formatCode="m/d/yy;@"/>
    <numFmt numFmtId="187" formatCode="d\-mmm\-yyyy"/>
    <numFmt numFmtId="188" formatCode="[$-409]dd\-mmm\-yy;@"/>
  </numFmts>
  <fonts count="65">
    <font>
      <sz val="10"/>
      <name val="Arial"/>
      <family val="0"/>
    </font>
    <font>
      <sz val="8"/>
      <name val="Arial"/>
      <family val="0"/>
    </font>
    <font>
      <b/>
      <sz val="10"/>
      <name val="Arial"/>
      <family val="2"/>
    </font>
    <font>
      <b/>
      <sz val="14"/>
      <name val="Arial"/>
      <family val="2"/>
    </font>
    <font>
      <sz val="12"/>
      <name val="Arial"/>
      <family val="0"/>
    </font>
    <font>
      <b/>
      <sz val="26"/>
      <color indexed="12"/>
      <name val="Arial"/>
      <family val="2"/>
    </font>
    <font>
      <b/>
      <sz val="28"/>
      <color indexed="12"/>
      <name val="Arial"/>
      <family val="2"/>
    </font>
    <font>
      <b/>
      <sz val="12"/>
      <name val="Arial"/>
      <family val="2"/>
    </font>
    <font>
      <b/>
      <sz val="12"/>
      <color indexed="12"/>
      <name val="Arial"/>
      <family val="2"/>
    </font>
    <font>
      <b/>
      <sz val="12"/>
      <color indexed="17"/>
      <name val="Arial"/>
      <family val="2"/>
    </font>
    <font>
      <b/>
      <sz val="10"/>
      <color indexed="17"/>
      <name val="Arial"/>
      <family val="2"/>
    </font>
    <font>
      <b/>
      <sz val="12"/>
      <color indexed="10"/>
      <name val="Arial"/>
      <family val="2"/>
    </font>
    <font>
      <b/>
      <sz val="9"/>
      <name val="Arial"/>
      <family val="2"/>
    </font>
    <font>
      <b/>
      <sz val="10"/>
      <color indexed="12"/>
      <name val="Arial"/>
      <family val="2"/>
    </font>
    <font>
      <b/>
      <sz val="16"/>
      <name val="Arial"/>
      <family val="2"/>
    </font>
    <font>
      <sz val="10"/>
      <color indexed="17"/>
      <name val="Arial"/>
      <family val="2"/>
    </font>
    <font>
      <u val="single"/>
      <sz val="10"/>
      <color indexed="12"/>
      <name val="Arial"/>
      <family val="0"/>
    </font>
    <font>
      <u val="single"/>
      <sz val="10"/>
      <color indexed="36"/>
      <name val="Arial"/>
      <family val="0"/>
    </font>
    <font>
      <b/>
      <sz val="10"/>
      <color indexed="10"/>
      <name val="Arial"/>
      <family val="2"/>
    </font>
    <font>
      <b/>
      <sz val="26"/>
      <color indexed="10"/>
      <name val="Arial"/>
      <family val="2"/>
    </font>
    <font>
      <b/>
      <sz val="10"/>
      <color indexed="58"/>
      <name val="Arial"/>
      <family val="2"/>
    </font>
    <font>
      <sz val="10"/>
      <color indexed="12"/>
      <name val="Arial"/>
      <family val="0"/>
    </font>
    <font>
      <sz val="26"/>
      <color indexed="10"/>
      <name val="Arial"/>
      <family val="0"/>
    </font>
    <font>
      <b/>
      <sz val="20"/>
      <color indexed="10"/>
      <name val="Arial"/>
      <family val="2"/>
    </font>
    <font>
      <sz val="20"/>
      <name val="Arial"/>
      <family val="0"/>
    </font>
    <font>
      <sz val="20"/>
      <color indexed="10"/>
      <name val="Arial"/>
      <family val="0"/>
    </font>
    <font>
      <sz val="9"/>
      <name val="Arial"/>
      <family val="2"/>
    </font>
    <font>
      <sz val="8.75"/>
      <color indexed="8"/>
      <name val="Arial"/>
      <family val="0"/>
    </font>
    <font>
      <sz val="10.75"/>
      <color indexed="8"/>
      <name val="Arial"/>
      <family val="0"/>
    </font>
    <font>
      <sz val="8.0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14"/>
        <bgColor indexed="64"/>
      </patternFill>
    </fill>
    <fill>
      <patternFill patternType="solid">
        <fgColor indexed="10"/>
        <bgColor indexed="64"/>
      </patternFill>
    </fill>
    <fill>
      <patternFill patternType="solid">
        <fgColor indexed="42"/>
        <bgColor indexed="64"/>
      </patternFill>
    </fill>
    <fill>
      <patternFill patternType="solid">
        <fgColor indexed="11"/>
        <bgColor indexed="64"/>
      </patternFill>
    </fill>
    <fill>
      <patternFill patternType="solid">
        <fgColor indexed="17"/>
        <bgColor indexed="64"/>
      </patternFill>
    </fill>
    <fill>
      <patternFill patternType="solid">
        <fgColor indexed="44"/>
        <bgColor indexed="64"/>
      </patternFill>
    </fill>
    <fill>
      <patternFill patternType="solid">
        <fgColor indexed="40"/>
        <bgColor indexed="64"/>
      </patternFill>
    </fill>
    <fill>
      <patternFill patternType="solid">
        <fgColor indexed="12"/>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6">
    <xf numFmtId="0" fontId="0" fillId="0" borderId="0" xfId="0" applyAlignment="1">
      <alignment/>
    </xf>
    <xf numFmtId="0" fontId="2" fillId="0" borderId="0" xfId="0" applyFont="1" applyAlignment="1">
      <alignment/>
    </xf>
    <xf numFmtId="21" fontId="0" fillId="0" borderId="0" xfId="0" applyNumberFormat="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0" borderId="0" xfId="0" applyFill="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2" fillId="33" borderId="0" xfId="0" applyFont="1" applyFill="1" applyAlignment="1">
      <alignment/>
    </xf>
    <xf numFmtId="22" fontId="0" fillId="33" borderId="0" xfId="0" applyNumberFormat="1" applyFill="1" applyAlignment="1">
      <alignment/>
    </xf>
    <xf numFmtId="167" fontId="0" fillId="33" borderId="0" xfId="0" applyNumberFormat="1" applyFill="1" applyAlignment="1">
      <alignment/>
    </xf>
    <xf numFmtId="0" fontId="4" fillId="33" borderId="0" xfId="0" applyFont="1" applyFill="1" applyAlignment="1">
      <alignment/>
    </xf>
    <xf numFmtId="0" fontId="0" fillId="0" borderId="0" xfId="0" applyFont="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Fill="1" applyBorder="1" applyAlignment="1">
      <alignment/>
    </xf>
    <xf numFmtId="0" fontId="8" fillId="39" borderId="17" xfId="0" applyFont="1" applyFill="1" applyBorder="1" applyAlignment="1">
      <alignment/>
    </xf>
    <xf numFmtId="0" fontId="2" fillId="0" borderId="10" xfId="0" applyFont="1" applyBorder="1" applyAlignment="1">
      <alignment horizontal="center"/>
    </xf>
    <xf numFmtId="0" fontId="7" fillId="0" borderId="0" xfId="0" applyFont="1" applyAlignment="1">
      <alignment/>
    </xf>
    <xf numFmtId="165" fontId="0" fillId="0" borderId="0" xfId="0" applyNumberFormat="1" applyAlignment="1">
      <alignment/>
    </xf>
    <xf numFmtId="0" fontId="10" fillId="0" borderId="0" xfId="0" applyFont="1" applyAlignment="1">
      <alignment/>
    </xf>
    <xf numFmtId="0" fontId="9" fillId="0" borderId="0" xfId="0" applyFont="1" applyAlignment="1">
      <alignment/>
    </xf>
    <xf numFmtId="0" fontId="7" fillId="33" borderId="18" xfId="0" applyFont="1" applyFill="1" applyBorder="1" applyAlignment="1">
      <alignment/>
    </xf>
    <xf numFmtId="0" fontId="7" fillId="33" borderId="19" xfId="0" applyFont="1" applyFill="1" applyBorder="1" applyAlignment="1">
      <alignment/>
    </xf>
    <xf numFmtId="0" fontId="7" fillId="33" borderId="20" xfId="0" applyFont="1" applyFill="1" applyBorder="1" applyAlignment="1">
      <alignment/>
    </xf>
    <xf numFmtId="0" fontId="7" fillId="33" borderId="21" xfId="0" applyFont="1" applyFill="1" applyBorder="1" applyAlignment="1">
      <alignment/>
    </xf>
    <xf numFmtId="0" fontId="7" fillId="33" borderId="22" xfId="0" applyFont="1" applyFill="1" applyBorder="1" applyAlignment="1">
      <alignment/>
    </xf>
    <xf numFmtId="0" fontId="0" fillId="39" borderId="18" xfId="0" applyFill="1" applyBorder="1" applyAlignment="1">
      <alignment/>
    </xf>
    <xf numFmtId="0" fontId="0" fillId="39" borderId="19" xfId="0" applyFill="1" applyBorder="1" applyAlignment="1">
      <alignment/>
    </xf>
    <xf numFmtId="0" fontId="0" fillId="39" borderId="20" xfId="0" applyFill="1" applyBorder="1" applyAlignment="1">
      <alignment/>
    </xf>
    <xf numFmtId="0" fontId="0" fillId="39" borderId="21" xfId="0" applyFill="1" applyBorder="1" applyAlignment="1">
      <alignment/>
    </xf>
    <xf numFmtId="0" fontId="0" fillId="39" borderId="23" xfId="0" applyFill="1" applyBorder="1" applyAlignment="1">
      <alignment/>
    </xf>
    <xf numFmtId="0" fontId="0" fillId="39" borderId="24" xfId="0" applyFill="1" applyBorder="1" applyAlignment="1">
      <alignment/>
    </xf>
    <xf numFmtId="0" fontId="0" fillId="39" borderId="25" xfId="0" applyFill="1" applyBorder="1" applyAlignment="1">
      <alignment/>
    </xf>
    <xf numFmtId="0" fontId="0" fillId="39" borderId="26" xfId="0" applyFill="1" applyBorder="1" applyAlignment="1">
      <alignment/>
    </xf>
    <xf numFmtId="0" fontId="0" fillId="39" borderId="22" xfId="0" applyFill="1" applyBorder="1" applyAlignment="1">
      <alignment/>
    </xf>
    <xf numFmtId="0" fontId="0" fillId="39" borderId="27" xfId="0" applyFill="1" applyBorder="1" applyAlignment="1">
      <alignment/>
    </xf>
    <xf numFmtId="0" fontId="0" fillId="39" borderId="28" xfId="0" applyFill="1" applyBorder="1" applyAlignment="1">
      <alignment/>
    </xf>
    <xf numFmtId="0" fontId="0" fillId="39" borderId="29" xfId="0" applyFill="1" applyBorder="1" applyAlignment="1">
      <alignment/>
    </xf>
    <xf numFmtId="0" fontId="0" fillId="39" borderId="30" xfId="0" applyFill="1" applyBorder="1" applyAlignment="1">
      <alignment/>
    </xf>
    <xf numFmtId="0" fontId="0" fillId="39" borderId="31" xfId="0" applyFill="1" applyBorder="1" applyAlignment="1">
      <alignment/>
    </xf>
    <xf numFmtId="0" fontId="11" fillId="0" borderId="0" xfId="0" applyFont="1" applyAlignment="1">
      <alignment/>
    </xf>
    <xf numFmtId="0" fontId="4" fillId="0" borderId="0" xfId="0" applyFont="1" applyAlignment="1">
      <alignment/>
    </xf>
    <xf numFmtId="174" fontId="0" fillId="0" borderId="0" xfId="0" applyNumberFormat="1" applyAlignment="1">
      <alignment/>
    </xf>
    <xf numFmtId="0" fontId="12" fillId="0" borderId="0" xfId="0" applyFont="1" applyAlignment="1">
      <alignment horizontal="center" wrapText="1"/>
    </xf>
    <xf numFmtId="174" fontId="12" fillId="0" borderId="0" xfId="0" applyNumberFormat="1" applyFont="1" applyAlignment="1">
      <alignment horizontal="center" wrapText="1"/>
    </xf>
    <xf numFmtId="0" fontId="12" fillId="0" borderId="0" xfId="0" applyFont="1" applyAlignment="1">
      <alignment/>
    </xf>
    <xf numFmtId="0" fontId="13" fillId="39" borderId="32" xfId="0" applyNumberFormat="1" applyFont="1" applyFill="1" applyBorder="1" applyAlignment="1">
      <alignment horizontal="center"/>
    </xf>
    <xf numFmtId="175" fontId="13" fillId="39" borderId="33" xfId="0" applyNumberFormat="1" applyFont="1" applyFill="1" applyBorder="1" applyAlignment="1">
      <alignment horizontal="center"/>
    </xf>
    <xf numFmtId="175" fontId="0" fillId="39" borderId="33" xfId="0" applyNumberFormat="1" applyFont="1" applyFill="1" applyBorder="1" applyAlignment="1">
      <alignment/>
    </xf>
    <xf numFmtId="0" fontId="0" fillId="39" borderId="33" xfId="0" applyNumberFormat="1" applyFont="1" applyFill="1" applyBorder="1" applyAlignment="1">
      <alignment/>
    </xf>
    <xf numFmtId="0" fontId="13" fillId="39" borderId="32" xfId="0" applyFont="1" applyFill="1" applyBorder="1" applyAlignment="1">
      <alignment horizontal="center"/>
    </xf>
    <xf numFmtId="0" fontId="0" fillId="39" borderId="34" xfId="0" applyFont="1" applyFill="1" applyBorder="1" applyAlignment="1">
      <alignment/>
    </xf>
    <xf numFmtId="0" fontId="0" fillId="39" borderId="33" xfId="0" applyFont="1" applyFill="1" applyBorder="1" applyAlignment="1">
      <alignment/>
    </xf>
    <xf numFmtId="21" fontId="0" fillId="33" borderId="0" xfId="0" applyNumberFormat="1" applyFill="1" applyAlignment="1">
      <alignment/>
    </xf>
    <xf numFmtId="21" fontId="4" fillId="39" borderId="0" xfId="0" applyNumberFormat="1" applyFont="1" applyFill="1" applyAlignment="1" applyProtection="1">
      <alignment horizontal="center"/>
      <protection locked="0"/>
    </xf>
    <xf numFmtId="167" fontId="4" fillId="39" borderId="0" xfId="0" applyNumberFormat="1" applyFont="1" applyFill="1" applyAlignment="1" applyProtection="1">
      <alignment horizontal="center"/>
      <protection locked="0"/>
    </xf>
    <xf numFmtId="165" fontId="4" fillId="39" borderId="0" xfId="0" applyNumberFormat="1" applyFont="1" applyFill="1" applyAlignment="1" applyProtection="1">
      <alignment horizontal="center"/>
      <protection/>
    </xf>
    <xf numFmtId="0" fontId="15" fillId="0" borderId="0" xfId="0" applyFont="1" applyAlignment="1">
      <alignment/>
    </xf>
    <xf numFmtId="14" fontId="0" fillId="0" borderId="0" xfId="0" applyNumberFormat="1" applyAlignment="1">
      <alignment/>
    </xf>
    <xf numFmtId="177" fontId="2" fillId="0" borderId="0" xfId="0" applyNumberFormat="1" applyFont="1" applyAlignment="1">
      <alignment/>
    </xf>
    <xf numFmtId="178" fontId="12" fillId="0" borderId="0" xfId="0" applyNumberFormat="1" applyFont="1" applyAlignment="1">
      <alignment horizontal="center" wrapText="1"/>
    </xf>
    <xf numFmtId="178" fontId="0" fillId="0" borderId="0" xfId="0" applyNumberFormat="1" applyAlignment="1">
      <alignment/>
    </xf>
    <xf numFmtId="0" fontId="16" fillId="0" borderId="0" xfId="53" applyAlignment="1" applyProtection="1">
      <alignment/>
      <protection/>
    </xf>
    <xf numFmtId="180" fontId="0" fillId="0" borderId="0" xfId="0" applyNumberFormat="1" applyAlignment="1">
      <alignment/>
    </xf>
    <xf numFmtId="0" fontId="5" fillId="39" borderId="0" xfId="0" applyFont="1" applyFill="1" applyAlignment="1">
      <alignment/>
    </xf>
    <xf numFmtId="0" fontId="5" fillId="0" borderId="0" xfId="0" applyFont="1" applyFill="1" applyAlignment="1">
      <alignment/>
    </xf>
    <xf numFmtId="0" fontId="0" fillId="33" borderId="0" xfId="0" applyFill="1" applyAlignment="1">
      <alignment horizontal="right"/>
    </xf>
    <xf numFmtId="0" fontId="9" fillId="36" borderId="0" xfId="0" applyFont="1" applyFill="1" applyAlignment="1" applyProtection="1">
      <alignment/>
      <protection locked="0"/>
    </xf>
    <xf numFmtId="0" fontId="0" fillId="0" borderId="0" xfId="0" applyFont="1" applyAlignment="1">
      <alignment/>
    </xf>
    <xf numFmtId="0" fontId="18" fillId="0" borderId="0" xfId="0" applyFont="1" applyAlignment="1">
      <alignment/>
    </xf>
    <xf numFmtId="0" fontId="0" fillId="0" borderId="0" xfId="0" applyAlignment="1">
      <alignment horizontal="left" vertical="center"/>
    </xf>
    <xf numFmtId="0" fontId="0" fillId="0" borderId="0" xfId="0" applyAlignment="1">
      <alignment vertical="center"/>
    </xf>
    <xf numFmtId="3" fontId="13" fillId="39" borderId="0" xfId="0" applyNumberFormat="1" applyFont="1" applyFill="1" applyAlignment="1">
      <alignment/>
    </xf>
    <xf numFmtId="0" fontId="0" fillId="33" borderId="0" xfId="0" applyFont="1"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0" xfId="0" applyFill="1" applyAlignment="1">
      <alignment vertical="center"/>
    </xf>
    <xf numFmtId="0" fontId="0" fillId="33" borderId="0" xfId="0" applyFill="1" applyAlignment="1">
      <alignment horizontal="center"/>
    </xf>
    <xf numFmtId="3" fontId="0" fillId="33" borderId="0" xfId="0" applyNumberFormat="1" applyFill="1" applyAlignment="1">
      <alignment/>
    </xf>
    <xf numFmtId="1" fontId="13" fillId="39" borderId="0" xfId="0" applyNumberFormat="1" applyFont="1" applyFill="1" applyAlignment="1">
      <alignment/>
    </xf>
    <xf numFmtId="1" fontId="0" fillId="33" borderId="0" xfId="0" applyNumberFormat="1" applyFill="1" applyAlignment="1">
      <alignment/>
    </xf>
    <xf numFmtId="1" fontId="21" fillId="39" borderId="0" xfId="0" applyNumberFormat="1" applyFont="1" applyFill="1" applyAlignment="1">
      <alignment/>
    </xf>
    <xf numFmtId="0" fontId="21" fillId="33" borderId="0" xfId="0" applyFont="1" applyFill="1" applyAlignment="1">
      <alignment/>
    </xf>
    <xf numFmtId="0" fontId="24" fillId="0" borderId="0" xfId="0" applyFont="1" applyAlignment="1">
      <alignment/>
    </xf>
    <xf numFmtId="0" fontId="25" fillId="33" borderId="0" xfId="0" applyFont="1" applyFill="1" applyAlignment="1">
      <alignment/>
    </xf>
    <xf numFmtId="0" fontId="0" fillId="39" borderId="0" xfId="0" applyFill="1" applyAlignment="1">
      <alignment/>
    </xf>
    <xf numFmtId="0" fontId="0" fillId="39" borderId="0" xfId="0" applyFont="1" applyFill="1" applyAlignment="1">
      <alignment/>
    </xf>
    <xf numFmtId="0" fontId="21" fillId="39" borderId="0" xfId="0" applyFont="1" applyFill="1" applyAlignment="1">
      <alignment/>
    </xf>
    <xf numFmtId="0" fontId="11" fillId="33" borderId="0" xfId="0" applyFont="1" applyFill="1" applyAlignment="1">
      <alignment/>
    </xf>
    <xf numFmtId="182" fontId="0" fillId="0" borderId="0" xfId="0" applyNumberFormat="1" applyAlignment="1">
      <alignment/>
    </xf>
    <xf numFmtId="0" fontId="0" fillId="0" borderId="0" xfId="0" applyFont="1" applyAlignment="1">
      <alignment horizontal="left"/>
    </xf>
    <xf numFmtId="0" fontId="26" fillId="0" borderId="0" xfId="0" applyFont="1" applyAlignment="1">
      <alignment horizontal="left" wrapText="1"/>
    </xf>
    <xf numFmtId="0" fontId="26" fillId="0" borderId="0" xfId="0" applyFont="1" applyAlignment="1">
      <alignment horizontal="left"/>
    </xf>
    <xf numFmtId="178" fontId="26" fillId="0" borderId="0" xfId="0" applyNumberFormat="1" applyFont="1" applyAlignment="1">
      <alignment horizontal="left" wrapText="1"/>
    </xf>
    <xf numFmtId="174" fontId="26" fillId="0" borderId="0" xfId="0" applyNumberFormat="1" applyFont="1" applyAlignment="1">
      <alignment horizontal="left" wrapText="1"/>
    </xf>
    <xf numFmtId="182" fontId="26" fillId="0" borderId="0" xfId="0" applyNumberFormat="1" applyFont="1" applyAlignment="1">
      <alignment horizontal="left" wrapText="1"/>
    </xf>
    <xf numFmtId="0" fontId="5" fillId="33" borderId="0" xfId="0" applyFont="1" applyFill="1" applyAlignment="1">
      <alignment/>
    </xf>
    <xf numFmtId="178" fontId="0" fillId="39" borderId="0" xfId="0" applyNumberFormat="1" applyFill="1" applyAlignment="1">
      <alignment/>
    </xf>
    <xf numFmtId="174" fontId="0" fillId="39" borderId="0" xfId="0" applyNumberFormat="1" applyFill="1" applyAlignment="1">
      <alignment/>
    </xf>
    <xf numFmtId="182" fontId="0" fillId="39" borderId="0" xfId="0" applyNumberFormat="1" applyFill="1" applyAlignment="1">
      <alignment/>
    </xf>
    <xf numFmtId="0" fontId="0" fillId="42" borderId="0" xfId="0" applyFill="1" applyAlignment="1">
      <alignment/>
    </xf>
    <xf numFmtId="178" fontId="0" fillId="42" borderId="0" xfId="0" applyNumberFormat="1" applyFill="1" applyAlignment="1">
      <alignment/>
    </xf>
    <xf numFmtId="174" fontId="0" fillId="42" borderId="0" xfId="0" applyNumberFormat="1" applyFill="1" applyAlignment="1">
      <alignment/>
    </xf>
    <xf numFmtId="185" fontId="12" fillId="0" borderId="0" xfId="0" applyNumberFormat="1" applyFont="1" applyAlignment="1">
      <alignment horizontal="center" wrapText="1"/>
    </xf>
    <xf numFmtId="185" fontId="0" fillId="0" borderId="0" xfId="0" applyNumberFormat="1" applyAlignment="1">
      <alignment/>
    </xf>
    <xf numFmtId="185" fontId="0" fillId="42" borderId="0" xfId="0" applyNumberFormat="1" applyFill="1" applyAlignment="1">
      <alignment/>
    </xf>
    <xf numFmtId="185" fontId="0" fillId="39" borderId="0" xfId="0" applyNumberFormat="1" applyFill="1" applyAlignment="1">
      <alignment/>
    </xf>
    <xf numFmtId="0" fontId="23" fillId="33" borderId="0" xfId="0" applyFont="1" applyFill="1" applyAlignment="1">
      <alignment horizontal="center"/>
    </xf>
    <xf numFmtId="0" fontId="25" fillId="33" borderId="0" xfId="0" applyFont="1" applyFill="1" applyAlignment="1">
      <alignment horizontal="center"/>
    </xf>
    <xf numFmtId="0" fontId="20" fillId="36" borderId="0" xfId="0" applyFont="1" applyFill="1" applyAlignment="1" applyProtection="1">
      <alignment horizontal="center" vertical="center"/>
      <protection locked="0"/>
    </xf>
    <xf numFmtId="3" fontId="20" fillId="36" borderId="0" xfId="0" applyNumberFormat="1" applyFont="1" applyFill="1" applyAlignment="1" applyProtection="1">
      <alignment vertical="center"/>
      <protection locked="0"/>
    </xf>
    <xf numFmtId="3" fontId="13" fillId="39" borderId="0" xfId="0" applyNumberFormat="1" applyFont="1" applyFill="1" applyAlignment="1">
      <alignment horizontal="left" vertical="center"/>
    </xf>
    <xf numFmtId="0" fontId="13" fillId="39" borderId="0" xfId="0" applyFont="1" applyFill="1" applyAlignment="1">
      <alignment horizontal="left" vertical="center"/>
    </xf>
    <xf numFmtId="0" fontId="20" fillId="36" borderId="0" xfId="0" applyFont="1" applyFill="1" applyAlignment="1" applyProtection="1">
      <alignment horizontal="left" vertical="center"/>
      <protection locked="0"/>
    </xf>
    <xf numFmtId="0" fontId="4" fillId="33" borderId="0" xfId="0" applyFont="1" applyFill="1" applyAlignment="1" applyProtection="1">
      <alignment/>
      <protection/>
    </xf>
    <xf numFmtId="0" fontId="0" fillId="33" borderId="0" xfId="0" applyFill="1" applyBorder="1" applyAlignment="1">
      <alignment/>
    </xf>
    <xf numFmtId="0" fontId="4" fillId="33" borderId="0" xfId="0" applyFont="1" applyFill="1" applyAlignment="1">
      <alignment/>
    </xf>
    <xf numFmtId="176" fontId="0" fillId="0" borderId="0" xfId="0" applyNumberFormat="1" applyAlignment="1">
      <alignment/>
    </xf>
    <xf numFmtId="176" fontId="0" fillId="43" borderId="0" xfId="0" applyNumberFormat="1" applyFill="1" applyBorder="1" applyAlignment="1">
      <alignment/>
    </xf>
    <xf numFmtId="0" fontId="0" fillId="43" borderId="0" xfId="0" applyFill="1" applyBorder="1" applyAlignment="1">
      <alignment/>
    </xf>
    <xf numFmtId="0" fontId="0" fillId="43" borderId="0" xfId="0" applyFill="1" applyAlignment="1">
      <alignment/>
    </xf>
    <xf numFmtId="0" fontId="9" fillId="43" borderId="0" xfId="0" applyFont="1" applyFill="1" applyBorder="1" applyAlignment="1">
      <alignment/>
    </xf>
    <xf numFmtId="0" fontId="9" fillId="43" borderId="0" xfId="0" applyFont="1" applyFill="1" applyBorder="1" applyAlignment="1">
      <alignment horizontal="center"/>
    </xf>
    <xf numFmtId="176" fontId="0" fillId="39" borderId="19" xfId="0" applyNumberFormat="1" applyFill="1" applyBorder="1" applyAlignment="1">
      <alignment/>
    </xf>
    <xf numFmtId="0" fontId="0" fillId="39" borderId="35" xfId="0" applyFill="1" applyBorder="1" applyAlignment="1">
      <alignment/>
    </xf>
    <xf numFmtId="176" fontId="0" fillId="43" borderId="0" xfId="0" applyNumberFormat="1" applyFill="1" applyAlignment="1">
      <alignment/>
    </xf>
    <xf numFmtId="0" fontId="12" fillId="33" borderId="0" xfId="0" applyFont="1" applyFill="1" applyAlignment="1" applyProtection="1">
      <alignment horizontal="center" wrapText="1"/>
      <protection locked="0"/>
    </xf>
    <xf numFmtId="0" fontId="12" fillId="33" borderId="0" xfId="0" applyFont="1" applyFill="1" applyAlignment="1" applyProtection="1">
      <alignment/>
      <protection locked="0"/>
    </xf>
    <xf numFmtId="178" fontId="12" fillId="33" borderId="0" xfId="0" applyNumberFormat="1" applyFont="1" applyFill="1" applyAlignment="1" applyProtection="1">
      <alignment horizontal="center" wrapText="1"/>
      <protection locked="0"/>
    </xf>
    <xf numFmtId="174" fontId="12" fillId="33" borderId="0" xfId="0" applyNumberFormat="1" applyFont="1" applyFill="1" applyAlignment="1" applyProtection="1">
      <alignment horizontal="center" wrapText="1"/>
      <protection locked="0"/>
    </xf>
    <xf numFmtId="182" fontId="12" fillId="33" borderId="0" xfId="0" applyNumberFormat="1" applyFont="1" applyFill="1" applyAlignment="1" applyProtection="1">
      <alignment horizontal="center" wrapText="1"/>
      <protection locked="0"/>
    </xf>
    <xf numFmtId="0" fontId="19" fillId="33" borderId="0" xfId="0" applyFont="1" applyFill="1" applyAlignment="1">
      <alignment/>
    </xf>
    <xf numFmtId="0" fontId="0" fillId="33" borderId="0" xfId="0" applyFill="1" applyAlignment="1" applyProtection="1">
      <alignment/>
      <protection locked="0"/>
    </xf>
    <xf numFmtId="0" fontId="0" fillId="39" borderId="0" xfId="0" applyFill="1" applyAlignment="1" applyProtection="1">
      <alignment/>
      <protection locked="0"/>
    </xf>
    <xf numFmtId="0" fontId="0" fillId="0" borderId="0" xfId="0" applyAlignment="1" applyProtection="1">
      <alignment/>
      <protection locked="0"/>
    </xf>
    <xf numFmtId="14" fontId="19" fillId="0" borderId="0" xfId="0" applyNumberFormat="1" applyFont="1" applyFill="1" applyAlignment="1">
      <alignment/>
    </xf>
    <xf numFmtId="180" fontId="0" fillId="33" borderId="0" xfId="0" applyNumberFormat="1" applyFill="1" applyAlignment="1">
      <alignment/>
    </xf>
    <xf numFmtId="49" fontId="0" fillId="0" borderId="0" xfId="0" applyNumberFormat="1" applyAlignment="1">
      <alignment/>
    </xf>
    <xf numFmtId="177" fontId="0" fillId="33" borderId="0" xfId="0" applyNumberFormat="1" applyFill="1" applyAlignment="1">
      <alignment/>
    </xf>
    <xf numFmtId="177" fontId="0" fillId="0" borderId="0" xfId="0" applyNumberFormat="1" applyAlignment="1">
      <alignment/>
    </xf>
    <xf numFmtId="0" fontId="0" fillId="44" borderId="0" xfId="0" applyFill="1" applyAlignment="1">
      <alignment/>
    </xf>
    <xf numFmtId="0" fontId="0" fillId="45" borderId="0" xfId="0" applyFill="1" applyAlignment="1">
      <alignment/>
    </xf>
    <xf numFmtId="177" fontId="2" fillId="0" borderId="0" xfId="0" applyNumberFormat="1" applyFont="1" applyFill="1" applyAlignment="1">
      <alignment/>
    </xf>
    <xf numFmtId="177" fontId="0" fillId="39" borderId="0" xfId="0" applyNumberFormat="1" applyFill="1" applyAlignment="1">
      <alignment/>
    </xf>
    <xf numFmtId="175" fontId="2" fillId="0" borderId="0" xfId="0" applyNumberFormat="1" applyFont="1" applyAlignment="1">
      <alignment/>
    </xf>
    <xf numFmtId="175" fontId="0" fillId="0" borderId="0" xfId="0" applyNumberFormat="1" applyAlignment="1">
      <alignment/>
    </xf>
    <xf numFmtId="0" fontId="16" fillId="39" borderId="0" xfId="53" applyFill="1" applyAlignment="1" applyProtection="1">
      <alignment/>
      <protection/>
    </xf>
    <xf numFmtId="177" fontId="2" fillId="33" borderId="0" xfId="0" applyNumberFormat="1" applyFont="1" applyFill="1" applyAlignment="1">
      <alignment/>
    </xf>
    <xf numFmtId="0" fontId="16" fillId="42" borderId="0" xfId="53" applyFill="1" applyAlignment="1" applyProtection="1">
      <alignment/>
      <protection/>
    </xf>
    <xf numFmtId="175" fontId="2" fillId="33" borderId="0" xfId="0" applyNumberFormat="1" applyFont="1" applyFill="1" applyAlignment="1">
      <alignment/>
    </xf>
    <xf numFmtId="0" fontId="0" fillId="33" borderId="0" xfId="0" applyNumberFormat="1" applyFill="1" applyAlignment="1">
      <alignment wrapText="1"/>
    </xf>
    <xf numFmtId="0" fontId="2" fillId="33" borderId="0" xfId="0" applyNumberFormat="1" applyFont="1" applyFill="1" applyAlignment="1">
      <alignment wrapText="1"/>
    </xf>
    <xf numFmtId="0" fontId="0" fillId="0" borderId="0" xfId="0" applyNumberFormat="1" applyAlignment="1">
      <alignment wrapText="1"/>
    </xf>
    <xf numFmtId="0" fontId="0" fillId="39" borderId="0" xfId="0" applyNumberFormat="1" applyFill="1" applyAlignment="1">
      <alignment wrapText="1"/>
    </xf>
    <xf numFmtId="180" fontId="0" fillId="39" borderId="0" xfId="0" applyNumberFormat="1" applyFill="1" applyAlignment="1">
      <alignment/>
    </xf>
    <xf numFmtId="0" fontId="5" fillId="33" borderId="0" xfId="0" applyFont="1" applyFill="1" applyAlignment="1">
      <alignment horizontal="center"/>
    </xf>
    <xf numFmtId="0" fontId="3" fillId="39" borderId="0" xfId="0" applyFont="1" applyFill="1" applyAlignment="1" applyProtection="1">
      <alignment horizontal="left"/>
      <protection locked="0"/>
    </xf>
    <xf numFmtId="0" fontId="7" fillId="33" borderId="36" xfId="0" applyFont="1" applyFill="1" applyBorder="1" applyAlignment="1">
      <alignment horizontal="center"/>
    </xf>
    <xf numFmtId="0" fontId="7" fillId="33" borderId="37" xfId="0" applyFont="1" applyFill="1" applyBorder="1" applyAlignment="1">
      <alignment horizontal="center"/>
    </xf>
    <xf numFmtId="0" fontId="6" fillId="39" borderId="0" xfId="0" applyFont="1" applyFill="1" applyAlignment="1">
      <alignment horizontal="center"/>
    </xf>
    <xf numFmtId="0" fontId="7" fillId="33" borderId="38" xfId="0" applyFont="1" applyFill="1" applyBorder="1" applyAlignment="1">
      <alignment horizontal="center"/>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39" xfId="0" applyFont="1" applyFill="1" applyBorder="1" applyAlignment="1">
      <alignment horizontal="center"/>
    </xf>
    <xf numFmtId="0" fontId="7" fillId="33" borderId="40" xfId="0" applyFont="1" applyFill="1" applyBorder="1" applyAlignment="1">
      <alignment horizontal="center"/>
    </xf>
    <xf numFmtId="0" fontId="7" fillId="33" borderId="41" xfId="0" applyFont="1" applyFill="1" applyBorder="1" applyAlignment="1">
      <alignment horizontal="center"/>
    </xf>
    <xf numFmtId="0" fontId="7" fillId="33" borderId="42" xfId="0" applyFont="1" applyFill="1" applyBorder="1" applyAlignment="1">
      <alignment horizontal="center"/>
    </xf>
    <xf numFmtId="0" fontId="7" fillId="0" borderId="15" xfId="0" applyFont="1" applyBorder="1" applyAlignment="1">
      <alignment horizontal="center"/>
    </xf>
    <xf numFmtId="0" fontId="0" fillId="39" borderId="43" xfId="0" applyFill="1" applyBorder="1" applyAlignment="1" applyProtection="1">
      <alignment horizontal="left"/>
      <protection/>
    </xf>
    <xf numFmtId="0" fontId="0" fillId="39" borderId="44" xfId="0" applyFill="1" applyBorder="1" applyAlignment="1" applyProtection="1">
      <alignment horizontal="left"/>
      <protection/>
    </xf>
    <xf numFmtId="0" fontId="0" fillId="39" borderId="38" xfId="0" applyFill="1" applyBorder="1" applyAlignment="1" applyProtection="1">
      <alignment horizontal="left"/>
      <protection/>
    </xf>
    <xf numFmtId="0" fontId="0" fillId="39" borderId="36" xfId="0" applyFill="1" applyBorder="1" applyAlignment="1" applyProtection="1">
      <alignment horizontal="left"/>
      <protection/>
    </xf>
    <xf numFmtId="0" fontId="0" fillId="39" borderId="37" xfId="0" applyFill="1" applyBorder="1" applyAlignment="1" applyProtection="1">
      <alignment horizontal="left"/>
      <protection/>
    </xf>
    <xf numFmtId="165" fontId="5" fillId="39" borderId="0" xfId="0" applyNumberFormat="1" applyFont="1" applyFill="1" applyAlignment="1">
      <alignment horizontal="center"/>
    </xf>
    <xf numFmtId="0" fontId="0" fillId="39" borderId="35" xfId="0" applyFill="1" applyBorder="1" applyAlignment="1" applyProtection="1">
      <alignment horizontal="left"/>
      <protection/>
    </xf>
    <xf numFmtId="0" fontId="0" fillId="39" borderId="45" xfId="0" applyFill="1" applyBorder="1" applyAlignment="1" applyProtection="1">
      <alignment horizontal="left"/>
      <protection/>
    </xf>
    <xf numFmtId="0" fontId="0" fillId="39" borderId="46" xfId="0" applyFill="1" applyBorder="1" applyAlignment="1" applyProtection="1">
      <alignment horizontal="left"/>
      <protection/>
    </xf>
    <xf numFmtId="0" fontId="0" fillId="39" borderId="47" xfId="0" applyFill="1" applyBorder="1" applyAlignment="1" applyProtection="1">
      <alignment horizontal="left"/>
      <protection/>
    </xf>
    <xf numFmtId="0" fontId="5" fillId="39" borderId="0" xfId="0" applyNumberFormat="1" applyFont="1" applyFill="1" applyAlignment="1">
      <alignment horizontal="center"/>
    </xf>
    <xf numFmtId="14" fontId="19" fillId="33" borderId="0" xfId="0" applyNumberFormat="1" applyFont="1" applyFill="1" applyAlignment="1">
      <alignment horizontal="center"/>
    </xf>
    <xf numFmtId="0" fontId="19" fillId="33" borderId="0" xfId="0" applyFont="1" applyFill="1" applyAlignment="1">
      <alignment horizontal="center"/>
    </xf>
    <xf numFmtId="0" fontId="5" fillId="39" borderId="0" xfId="0" applyFont="1" applyFill="1" applyAlignment="1">
      <alignment horizontal="center"/>
    </xf>
    <xf numFmtId="0" fontId="15" fillId="36" borderId="0" xfId="0" applyFont="1" applyFill="1" applyAlignment="1" applyProtection="1">
      <alignment horizontal="left"/>
      <protection locked="0"/>
    </xf>
    <xf numFmtId="180" fontId="15" fillId="36" borderId="0" xfId="0" applyNumberFormat="1" applyFont="1" applyFill="1" applyAlignment="1" applyProtection="1">
      <alignment horizontal="left"/>
      <protection locked="0"/>
    </xf>
    <xf numFmtId="0" fontId="0" fillId="33" borderId="0" xfId="0" applyFill="1" applyAlignment="1">
      <alignment horizontal="left"/>
    </xf>
    <xf numFmtId="0" fontId="0" fillId="33" borderId="0" xfId="0" applyFill="1" applyAlignment="1">
      <alignment horizontal="left" vertical="center"/>
    </xf>
    <xf numFmtId="0" fontId="0" fillId="33" borderId="0" xfId="0" applyFill="1" applyAlignment="1">
      <alignment horizontal="right"/>
    </xf>
    <xf numFmtId="165" fontId="13" fillId="39" borderId="0" xfId="0" applyNumberFormat="1" applyFont="1" applyFill="1" applyAlignment="1">
      <alignment horizontal="left"/>
    </xf>
    <xf numFmtId="0" fontId="13" fillId="39" borderId="0" xfId="0" applyFont="1" applyFill="1" applyAlignment="1">
      <alignment horizontal="left"/>
    </xf>
    <xf numFmtId="0" fontId="20" fillId="36" borderId="0" xfId="0" applyFont="1" applyFill="1" applyAlignment="1" applyProtection="1">
      <alignment horizontal="left" vertical="center"/>
      <protection locked="0"/>
    </xf>
    <xf numFmtId="0" fontId="0" fillId="39" borderId="0" xfId="0" applyFill="1" applyAlignment="1">
      <alignment horizontal="left"/>
    </xf>
    <xf numFmtId="165" fontId="0" fillId="39" borderId="0" xfId="0" applyNumberFormat="1" applyFill="1" applyAlignment="1">
      <alignment horizontal="left"/>
    </xf>
    <xf numFmtId="0" fontId="0" fillId="39" borderId="0" xfId="0" applyFill="1" applyAlignment="1">
      <alignment horizontal="center"/>
    </xf>
    <xf numFmtId="165" fontId="0" fillId="39" borderId="0" xfId="0" applyNumberFormat="1" applyFont="1" applyFill="1" applyAlignment="1">
      <alignment horizontal="left"/>
    </xf>
    <xf numFmtId="0" fontId="23" fillId="33" borderId="0" xfId="0" applyFont="1" applyFill="1" applyAlignment="1">
      <alignment horizontal="center"/>
    </xf>
    <xf numFmtId="0" fontId="21" fillId="39" borderId="0" xfId="0" applyFont="1" applyFill="1" applyAlignment="1">
      <alignment horizontal="left"/>
    </xf>
    <xf numFmtId="0" fontId="22" fillId="33" borderId="0" xfId="0" applyFont="1" applyFill="1" applyAlignment="1">
      <alignment horizontal="center"/>
    </xf>
    <xf numFmtId="0" fontId="0" fillId="33" borderId="0" xfId="0" applyFill="1" applyAlignment="1">
      <alignment horizontal="center"/>
    </xf>
    <xf numFmtId="0" fontId="13" fillId="39" borderId="0" xfId="0" applyFont="1" applyFill="1" applyAlignment="1">
      <alignment horizontal="center"/>
    </xf>
    <xf numFmtId="3" fontId="13" fillId="39" borderId="0" xfId="0" applyNumberFormat="1" applyFont="1" applyFill="1" applyAlignment="1">
      <alignment horizontal="center"/>
    </xf>
    <xf numFmtId="165" fontId="20" fillId="36" borderId="0" xfId="0" applyNumberFormat="1" applyFont="1" applyFill="1" applyAlignment="1" applyProtection="1">
      <alignment horizontal="left" vertical="center"/>
      <protection locked="0"/>
    </xf>
    <xf numFmtId="165" fontId="13" fillId="39" borderId="0" xfId="0" applyNumberFormat="1" applyFont="1" applyFill="1" applyAlignment="1" applyProtection="1">
      <alignment horizontal="left" vertical="center"/>
      <protection/>
    </xf>
    <xf numFmtId="0" fontId="25"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8"/>
      <c:depthPercent val="100"/>
      <c:rAngAx val="0"/>
      <c:perspective val="30"/>
    </c:view3D>
    <c:plotArea>
      <c:layout>
        <c:manualLayout>
          <c:xMode val="edge"/>
          <c:yMode val="edge"/>
          <c:x val="0.00475"/>
          <c:y val="0"/>
          <c:w val="0.94225"/>
          <c:h val="0.98875"/>
        </c:manualLayout>
      </c:layout>
      <c:line3DChart>
        <c:grouping val="standard"/>
        <c:varyColors val="0"/>
        <c:ser>
          <c:idx val="0"/>
          <c:order val="0"/>
          <c:tx>
            <c:strRef>
              <c:f>[0]!BioPhysicalTitle</c:f>
              <c:strCache>
                <c:ptCount val="1"/>
                <c:pt idx="0">
                  <c:v>Physical</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[0]!BioPhysical</c:f>
              <c:numCache>
                <c:ptCount val="45"/>
                <c:pt idx="0">
                  <c:v>0.8878852184023752</c:v>
                </c:pt>
                <c:pt idx="1">
                  <c:v>0.9790840876823229</c:v>
                </c:pt>
                <c:pt idx="2">
                  <c:v>0.9976687691905392</c:v>
                </c:pt>
                <c:pt idx="3">
                  <c:v>0.9422609221188205</c:v>
                </c:pt>
                <c:pt idx="4">
                  <c:v>0.8169698930104421</c:v>
                </c:pt>
                <c:pt idx="5">
                  <c:v>0.631087944326053</c:v>
                </c:pt>
                <c:pt idx="6">
                  <c:v>0.3984010898462414</c:v>
                </c:pt>
                <c:pt idx="7">
                  <c:v>0.1361666490962471</c:v>
                </c:pt>
                <c:pt idx="8">
                  <c:v>-0.1361666490962464</c:v>
                </c:pt>
                <c:pt idx="9">
                  <c:v>-0.39840108984624156</c:v>
                </c:pt>
                <c:pt idx="10">
                  <c:v>-0.6310879443260528</c:v>
                </c:pt>
                <c:pt idx="11">
                  <c:v>-0.816969893010442</c:v>
                </c:pt>
                <c:pt idx="12">
                  <c:v>-0.9422609221188204</c:v>
                </c:pt>
                <c:pt idx="13">
                  <c:v>-0.9976687691905393</c:v>
                </c:pt>
                <c:pt idx="14">
                  <c:v>-0.979084087682323</c:v>
                </c:pt>
                <c:pt idx="15">
                  <c:v>-0.8878852184023756</c:v>
                </c:pt>
                <c:pt idx="16">
                  <c:v>-0.730835964278124</c:v>
                </c:pt>
                <c:pt idx="17">
                  <c:v>-0.5195839500354336</c:v>
                </c:pt>
                <c:pt idx="18">
                  <c:v>-0.2697967711570252</c:v>
                </c:pt>
                <c:pt idx="19">
                  <c:v>0</c:v>
                </c:pt>
                <c:pt idx="20">
                  <c:v>0.2697967711570243</c:v>
                </c:pt>
                <c:pt idx="21">
                  <c:v>0.5195839500354336</c:v>
                </c:pt>
                <c:pt idx="22">
                  <c:v>0.730835964278124</c:v>
                </c:pt>
                <c:pt idx="23">
                  <c:v>0.8878852184023752</c:v>
                </c:pt>
                <c:pt idx="24">
                  <c:v>0.9790840876823229</c:v>
                </c:pt>
                <c:pt idx="25">
                  <c:v>0.9976687691905392</c:v>
                </c:pt>
                <c:pt idx="26">
                  <c:v>0.9422609221188205</c:v>
                </c:pt>
                <c:pt idx="27">
                  <c:v>0.8169698930104421</c:v>
                </c:pt>
                <c:pt idx="28">
                  <c:v>0.631087944326053</c:v>
                </c:pt>
                <c:pt idx="29">
                  <c:v>0.3984010898462414</c:v>
                </c:pt>
                <c:pt idx="30">
                  <c:v>0.1361666490962471</c:v>
                </c:pt>
                <c:pt idx="31">
                  <c:v>-0.1361666490962464</c:v>
                </c:pt>
                <c:pt idx="32">
                  <c:v>-0.39840108984624156</c:v>
                </c:pt>
                <c:pt idx="33">
                  <c:v>-0.6310879443260528</c:v>
                </c:pt>
                <c:pt idx="34">
                  <c:v>-0.816969893010442</c:v>
                </c:pt>
                <c:pt idx="35">
                  <c:v>-0.9422609221188204</c:v>
                </c:pt>
                <c:pt idx="36">
                  <c:v>-0.9976687691905393</c:v>
                </c:pt>
                <c:pt idx="37">
                  <c:v>-0.979084087682323</c:v>
                </c:pt>
                <c:pt idx="38">
                  <c:v>-0.8878852184023756</c:v>
                </c:pt>
                <c:pt idx="39">
                  <c:v>-0.730835964278124</c:v>
                </c:pt>
                <c:pt idx="40">
                  <c:v>-0.5195839500354336</c:v>
                </c:pt>
                <c:pt idx="41">
                  <c:v>-0.2697967711570252</c:v>
                </c:pt>
                <c:pt idx="42">
                  <c:v>0</c:v>
                </c:pt>
                <c:pt idx="43">
                  <c:v>0.2697967711570243</c:v>
                </c:pt>
                <c:pt idx="44">
                  <c:v>0.5195839500354336</c:v>
                </c:pt>
              </c:numCache>
            </c:numRef>
          </c:val>
          <c:smooth val="0"/>
        </c:ser>
        <c:ser>
          <c:idx val="1"/>
          <c:order val="1"/>
          <c:tx>
            <c:strRef>
              <c:f>[0]!BioEmotionalTitle</c:f>
              <c:strCache>
                <c:ptCount val="1"/>
                <c:pt idx="0">
                  <c:v>Emotional</c:v>
                </c:pt>
              </c:strCache>
            </c:strRef>
          </c:tx>
          <c:spPr>
            <a:solidFill>
              <a:srgbClr val="993366"/>
            </a:solidFill>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[0]!BioEmotional</c:f>
              <c:numCache>
                <c:ptCount val="45"/>
                <c:pt idx="0">
                  <c:v>0.6234898018587339</c:v>
                </c:pt>
                <c:pt idx="1">
                  <c:v>0.43388373911755823</c:v>
                </c:pt>
                <c:pt idx="2">
                  <c:v>0.2225209339563141</c:v>
                </c:pt>
                <c:pt idx="3">
                  <c:v>1.22514845490862E-16</c:v>
                </c:pt>
                <c:pt idx="4">
                  <c:v>-0.22252093395631384</c:v>
                </c:pt>
                <c:pt idx="5">
                  <c:v>-0.433883739117558</c:v>
                </c:pt>
                <c:pt idx="6">
                  <c:v>-0.6234898018587338</c:v>
                </c:pt>
                <c:pt idx="7">
                  <c:v>-0.7818314824680297</c:v>
                </c:pt>
                <c:pt idx="8">
                  <c:v>-0.900968867902419</c:v>
                </c:pt>
                <c:pt idx="9">
                  <c:v>-0.9749279121818236</c:v>
                </c:pt>
                <c:pt idx="10">
                  <c:v>-1</c:v>
                </c:pt>
                <c:pt idx="11">
                  <c:v>-0.9749279121818238</c:v>
                </c:pt>
                <c:pt idx="12">
                  <c:v>-0.9009688679024193</c:v>
                </c:pt>
                <c:pt idx="13">
                  <c:v>-0.7818314824680299</c:v>
                </c:pt>
                <c:pt idx="14">
                  <c:v>-0.6234898018587337</c:v>
                </c:pt>
                <c:pt idx="15">
                  <c:v>-0.4338837391175575</c:v>
                </c:pt>
                <c:pt idx="16">
                  <c:v>-0.22252093395631464</c:v>
                </c:pt>
                <c:pt idx="17">
                  <c:v>0</c:v>
                </c:pt>
                <c:pt idx="18">
                  <c:v>0.2225209339563144</c:v>
                </c:pt>
                <c:pt idx="19">
                  <c:v>0.4338837391175581</c:v>
                </c:pt>
                <c:pt idx="20">
                  <c:v>0.6234898018587335</c:v>
                </c:pt>
                <c:pt idx="21">
                  <c:v>0.7818314824680298</c:v>
                </c:pt>
                <c:pt idx="22">
                  <c:v>0.9009688679024191</c:v>
                </c:pt>
                <c:pt idx="23">
                  <c:v>0.9749279121818236</c:v>
                </c:pt>
                <c:pt idx="24">
                  <c:v>1</c:v>
                </c:pt>
                <c:pt idx="25">
                  <c:v>0.9749279121818236</c:v>
                </c:pt>
                <c:pt idx="26">
                  <c:v>0.9009688679024191</c:v>
                </c:pt>
                <c:pt idx="27">
                  <c:v>0.7818314824680299</c:v>
                </c:pt>
                <c:pt idx="28">
                  <c:v>0.6234898018587339</c:v>
                </c:pt>
                <c:pt idx="29">
                  <c:v>0.43388373911755823</c:v>
                </c:pt>
                <c:pt idx="30">
                  <c:v>0.2225209339563141</c:v>
                </c:pt>
                <c:pt idx="31">
                  <c:v>1.22514845490862E-16</c:v>
                </c:pt>
                <c:pt idx="32">
                  <c:v>-0.22252093395631384</c:v>
                </c:pt>
                <c:pt idx="33">
                  <c:v>-0.433883739117558</c:v>
                </c:pt>
                <c:pt idx="34">
                  <c:v>-0.6234898018587338</c:v>
                </c:pt>
                <c:pt idx="35">
                  <c:v>-0.7818314824680297</c:v>
                </c:pt>
                <c:pt idx="36">
                  <c:v>-0.900968867902419</c:v>
                </c:pt>
                <c:pt idx="37">
                  <c:v>-0.9749279121818236</c:v>
                </c:pt>
                <c:pt idx="38">
                  <c:v>-1</c:v>
                </c:pt>
                <c:pt idx="39">
                  <c:v>-0.9749279121818238</c:v>
                </c:pt>
                <c:pt idx="40">
                  <c:v>-0.9009688679024193</c:v>
                </c:pt>
                <c:pt idx="41">
                  <c:v>-0.7818314824680299</c:v>
                </c:pt>
                <c:pt idx="42">
                  <c:v>-0.6234898018587337</c:v>
                </c:pt>
                <c:pt idx="43">
                  <c:v>-0.4338837391175575</c:v>
                </c:pt>
                <c:pt idx="44">
                  <c:v>-0.22252093395631464</c:v>
                </c:pt>
              </c:numCache>
            </c:numRef>
          </c:val>
          <c:smooth val="0"/>
        </c:ser>
        <c:ser>
          <c:idx val="2"/>
          <c:order val="2"/>
          <c:tx>
            <c:strRef>
              <c:f>[0]!BioIntellectualTitle</c:f>
              <c:strCache>
                <c:ptCount val="1"/>
                <c:pt idx="0">
                  <c:v>Intellectual</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[0]!BioIntellectual</c:f>
              <c:numCache>
                <c:ptCount val="45"/>
                <c:pt idx="0">
                  <c:v>-0.9450008187146683</c:v>
                </c:pt>
                <c:pt idx="1">
                  <c:v>-0.9898214418809327</c:v>
                </c:pt>
                <c:pt idx="2">
                  <c:v>-0.998867339183008</c:v>
                </c:pt>
                <c:pt idx="3">
                  <c:v>-0.9718115683235417</c:v>
                </c:pt>
                <c:pt idx="4">
                  <c:v>-0.9096319953545186</c:v>
                </c:pt>
                <c:pt idx="5">
                  <c:v>-0.8145759520503358</c:v>
                </c:pt>
                <c:pt idx="6">
                  <c:v>-0.690079011482112</c:v>
                </c:pt>
                <c:pt idx="7">
                  <c:v>-0.5406408174555982</c:v>
                </c:pt>
                <c:pt idx="8">
                  <c:v>-0.3716624556603281</c:v>
                </c:pt>
                <c:pt idx="9">
                  <c:v>-0.18925124436041063</c:v>
                </c:pt>
                <c:pt idx="10">
                  <c:v>0</c:v>
                </c:pt>
                <c:pt idx="11">
                  <c:v>0.1892512443604102</c:v>
                </c:pt>
                <c:pt idx="12">
                  <c:v>0.3716624556603275</c:v>
                </c:pt>
                <c:pt idx="13">
                  <c:v>0.5406408174555976</c:v>
                </c:pt>
                <c:pt idx="14">
                  <c:v>0.6900790114821119</c:v>
                </c:pt>
                <c:pt idx="15">
                  <c:v>0.8145759520503357</c:v>
                </c:pt>
                <c:pt idx="16">
                  <c:v>0.9096319953545183</c:v>
                </c:pt>
                <c:pt idx="17">
                  <c:v>0.9718115683235417</c:v>
                </c:pt>
                <c:pt idx="18">
                  <c:v>0.998867339183008</c:v>
                </c:pt>
                <c:pt idx="19">
                  <c:v>0.9898214418809328</c:v>
                </c:pt>
                <c:pt idx="20">
                  <c:v>0.9450008187146685</c:v>
                </c:pt>
                <c:pt idx="21">
                  <c:v>0.8660254037844387</c:v>
                </c:pt>
                <c:pt idx="22">
                  <c:v>0.7557495743542583</c:v>
                </c:pt>
                <c:pt idx="23">
                  <c:v>0.6181589862206051</c:v>
                </c:pt>
                <c:pt idx="24">
                  <c:v>0.4582265217274105</c:v>
                </c:pt>
                <c:pt idx="25">
                  <c:v>0.28173255684143006</c:v>
                </c:pt>
                <c:pt idx="26">
                  <c:v>0.09505604330418288</c:v>
                </c:pt>
                <c:pt idx="27">
                  <c:v>-0.09505604330418263</c:v>
                </c:pt>
                <c:pt idx="28">
                  <c:v>-0.2817325568414294</c:v>
                </c:pt>
                <c:pt idx="29">
                  <c:v>-0.4582265217274099</c:v>
                </c:pt>
                <c:pt idx="30">
                  <c:v>-0.6181589862206053</c:v>
                </c:pt>
                <c:pt idx="31">
                  <c:v>-0.7557495743542585</c:v>
                </c:pt>
                <c:pt idx="32">
                  <c:v>-0.8660254037844384</c:v>
                </c:pt>
                <c:pt idx="33">
                  <c:v>-0.9450008187146683</c:v>
                </c:pt>
                <c:pt idx="34">
                  <c:v>-0.9898214418809327</c:v>
                </c:pt>
                <c:pt idx="35">
                  <c:v>-0.998867339183008</c:v>
                </c:pt>
                <c:pt idx="36">
                  <c:v>-0.9718115683235417</c:v>
                </c:pt>
                <c:pt idx="37">
                  <c:v>-0.9096319953545186</c:v>
                </c:pt>
                <c:pt idx="38">
                  <c:v>-0.8145759520503358</c:v>
                </c:pt>
                <c:pt idx="39">
                  <c:v>-0.690079011482112</c:v>
                </c:pt>
                <c:pt idx="40">
                  <c:v>-0.5406408174555982</c:v>
                </c:pt>
                <c:pt idx="41">
                  <c:v>-0.3716624556603281</c:v>
                </c:pt>
                <c:pt idx="42">
                  <c:v>-0.18925124436041063</c:v>
                </c:pt>
                <c:pt idx="43">
                  <c:v>0</c:v>
                </c:pt>
                <c:pt idx="44">
                  <c:v>0.1892512443604102</c:v>
                </c:pt>
              </c:numCache>
            </c:numRef>
          </c:val>
          <c:smooth val="0"/>
        </c:ser>
        <c:axId val="770916"/>
        <c:axId val="6938245"/>
        <c:axId val="62444206"/>
      </c:line3DChart>
      <c:dateAx>
        <c:axId val="77091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6938245"/>
        <c:crosses val="autoZero"/>
        <c:auto val="0"/>
        <c:baseTimeUnit val="days"/>
        <c:majorUnit val="1"/>
        <c:majorTimeUnit val="days"/>
        <c:minorUnit val="1"/>
        <c:minorTimeUnit val="days"/>
        <c:noMultiLvlLbl val="0"/>
      </c:dateAx>
      <c:valAx>
        <c:axId val="69382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770916"/>
        <c:crossesAt val="1"/>
        <c:crossBetween val="between"/>
        <c:dispUnits/>
      </c:valAx>
      <c:serAx>
        <c:axId val="62444206"/>
        <c:scaling>
          <c:orientation val="minMax"/>
        </c:scaling>
        <c:axPos val="b"/>
        <c:delete val="1"/>
        <c:majorTickMark val="out"/>
        <c:minorTickMark val="none"/>
        <c:tickLblPos val="nextTo"/>
        <c:crossAx val="6938245"/>
        <c:crosses val="autoZero"/>
        <c:tickLblSkip val="1"/>
        <c:tickMarkSkip val="1"/>
      </c:serAx>
      <c:spPr>
        <a:solidFill>
          <a:srgbClr val="99CCFF"/>
        </a:solidFill>
        <a:ln w="3175">
          <a:noFill/>
        </a:ln>
      </c:spPr>
    </c:plotArea>
    <c:legend>
      <c:legendPos val="r"/>
      <c:layout>
        <c:manualLayout>
          <c:xMode val="edge"/>
          <c:yMode val="edge"/>
          <c:x val="0.01175"/>
          <c:y val="0.90825"/>
          <c:w val="0.2115"/>
          <c:h val="0.043"/>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99CC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6</xdr:row>
      <xdr:rowOff>104775</xdr:rowOff>
    </xdr:from>
    <xdr:to>
      <xdr:col>3</xdr:col>
      <xdr:colOff>142875</xdr:colOff>
      <xdr:row>29</xdr:row>
      <xdr:rowOff>76200</xdr:rowOff>
    </xdr:to>
    <xdr:grpSp>
      <xdr:nvGrpSpPr>
        <xdr:cNvPr id="1" name="Group 16"/>
        <xdr:cNvGrpSpPr>
          <a:grpSpLocks/>
        </xdr:cNvGrpSpPr>
      </xdr:nvGrpSpPr>
      <xdr:grpSpPr>
        <a:xfrm>
          <a:off x="2352675" y="1438275"/>
          <a:ext cx="1990725" cy="3924300"/>
          <a:chOff x="247" y="151"/>
          <a:chExt cx="176" cy="412"/>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10</xdr:row>
      <xdr:rowOff>9525</xdr:rowOff>
    </xdr:from>
    <xdr:to>
      <xdr:col>14</xdr:col>
      <xdr:colOff>0</xdr:colOff>
      <xdr:row>42</xdr:row>
      <xdr:rowOff>0</xdr:rowOff>
    </xdr:to>
    <xdr:graphicFrame>
      <xdr:nvGraphicFramePr>
        <xdr:cNvPr id="1" name="Chart 3"/>
        <xdr:cNvGraphicFramePr/>
      </xdr:nvGraphicFramePr>
      <xdr:xfrm>
        <a:off x="0" y="1876425"/>
        <a:ext cx="9858375"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Blue@any.com" TargetMode="External" /><Relationship Id="rId2" Type="http://schemas.openxmlformats.org/officeDocument/2006/relationships/hyperlink" Target="mailto:mmustard@your.com" TargetMode="External" /><Relationship Id="rId3" Type="http://schemas.openxmlformats.org/officeDocument/2006/relationships/hyperlink" Target="mailto:Ppurple@us.com" TargetMode="Externa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BBlue@any.com" TargetMode="External" /><Relationship Id="rId2" Type="http://schemas.openxmlformats.org/officeDocument/2006/relationships/hyperlink" Target="mailto:mmustard@your.com" TargetMode="External" /><Relationship Id="rId3" Type="http://schemas.openxmlformats.org/officeDocument/2006/relationships/hyperlink" Target="mailto:Ppurple@us.com" TargetMode="External" /><Relationship Id="rId4" Type="http://schemas.openxmlformats.org/officeDocument/2006/relationships/vmlDrawing" Target="../drawings/vmlDrawing7.v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Documentation"/>
  <dimension ref="A1:G132"/>
  <sheetViews>
    <sheetView zoomScalePageLayoutView="0" workbookViewId="0" topLeftCell="A102">
      <selection activeCell="C63" sqref="C63"/>
    </sheetView>
  </sheetViews>
  <sheetFormatPr defaultColWidth="9.140625" defaultRowHeight="12.75"/>
  <cols>
    <col min="1" max="1" width="12.28125" style="0" bestFit="1" customWidth="1"/>
  </cols>
  <sheetData>
    <row r="1" spans="1:2" ht="12.75">
      <c r="A1" t="s">
        <v>4</v>
      </c>
      <c r="B1" t="s">
        <v>19</v>
      </c>
    </row>
    <row r="3" spans="1:2" ht="12.75">
      <c r="A3" t="s">
        <v>0</v>
      </c>
      <c r="B3" t="s">
        <v>1</v>
      </c>
    </row>
    <row r="4" spans="1:2" ht="12.75">
      <c r="A4" t="s">
        <v>35</v>
      </c>
      <c r="B4" t="s">
        <v>2</v>
      </c>
    </row>
    <row r="6" spans="1:2" ht="12.75">
      <c r="A6" t="s">
        <v>3</v>
      </c>
      <c r="B6" t="s">
        <v>347</v>
      </c>
    </row>
    <row r="8" ht="12.75">
      <c r="A8" t="s">
        <v>70</v>
      </c>
    </row>
    <row r="10" ht="12.75">
      <c r="A10" t="s">
        <v>82</v>
      </c>
    </row>
    <row r="11" ht="12.75">
      <c r="B11" t="s">
        <v>92</v>
      </c>
    </row>
    <row r="12" ht="12.75">
      <c r="B12" t="s">
        <v>83</v>
      </c>
    </row>
    <row r="13" ht="12.75">
      <c r="B13" t="s">
        <v>84</v>
      </c>
    </row>
    <row r="15" spans="1:2" ht="12.75">
      <c r="A15" s="1" t="s">
        <v>5</v>
      </c>
      <c r="B15" s="1" t="s">
        <v>36</v>
      </c>
    </row>
    <row r="16" ht="12.75">
      <c r="B16" s="1"/>
    </row>
    <row r="17" spans="3:7" ht="12.75">
      <c r="C17" t="s">
        <v>20</v>
      </c>
      <c r="D17" s="3"/>
      <c r="E17" s="4"/>
      <c r="F17" s="5"/>
      <c r="G17" t="s">
        <v>21</v>
      </c>
    </row>
    <row r="18" spans="1:7" ht="12.75">
      <c r="A18" s="2"/>
      <c r="C18" t="s">
        <v>22</v>
      </c>
      <c r="D18" s="6"/>
      <c r="E18" s="7"/>
      <c r="F18" s="8"/>
      <c r="G18" s="9" t="s">
        <v>23</v>
      </c>
    </row>
    <row r="19" spans="3:7" ht="12.75">
      <c r="C19" t="s">
        <v>24</v>
      </c>
      <c r="D19" s="10"/>
      <c r="E19" s="11"/>
      <c r="F19" s="12"/>
      <c r="G19" t="s">
        <v>25</v>
      </c>
    </row>
    <row r="21" ht="12.75">
      <c r="B21" s="1" t="s">
        <v>129</v>
      </c>
    </row>
    <row r="22" ht="12.75">
      <c r="C22" t="s">
        <v>130</v>
      </c>
    </row>
    <row r="23" ht="12.75">
      <c r="C23" t="s">
        <v>131</v>
      </c>
    </row>
    <row r="24" ht="12.75">
      <c r="D24" t="s">
        <v>216</v>
      </c>
    </row>
    <row r="25" ht="12.75">
      <c r="A25" s="1" t="s">
        <v>26</v>
      </c>
    </row>
    <row r="27" ht="12.75">
      <c r="B27" s="1" t="s">
        <v>11</v>
      </c>
    </row>
    <row r="28" spans="2:3" ht="12.75">
      <c r="B28" s="1"/>
      <c r="C28" t="s">
        <v>37</v>
      </c>
    </row>
    <row r="29" spans="2:3" ht="12.75">
      <c r="B29" s="1"/>
      <c r="C29" t="s">
        <v>34</v>
      </c>
    </row>
    <row r="30" spans="3:4" ht="12.75">
      <c r="C30" t="s">
        <v>136</v>
      </c>
      <c r="D30" t="s">
        <v>12</v>
      </c>
    </row>
    <row r="31" spans="3:4" ht="12.75">
      <c r="C31" t="s">
        <v>137</v>
      </c>
      <c r="D31" t="s">
        <v>13</v>
      </c>
    </row>
    <row r="32" spans="3:4" ht="12.75">
      <c r="C32" t="s">
        <v>138</v>
      </c>
      <c r="D32" t="s">
        <v>14</v>
      </c>
    </row>
    <row r="33" spans="3:4" ht="12.75">
      <c r="C33" t="s">
        <v>27</v>
      </c>
      <c r="D33" t="s">
        <v>15</v>
      </c>
    </row>
    <row r="34" ht="12.75">
      <c r="B34" s="1" t="s">
        <v>85</v>
      </c>
    </row>
    <row r="35" ht="12.75">
      <c r="C35" t="s">
        <v>67</v>
      </c>
    </row>
    <row r="36" ht="12.75">
      <c r="C36" t="s">
        <v>86</v>
      </c>
    </row>
    <row r="37" ht="12.75">
      <c r="C37" t="s">
        <v>69</v>
      </c>
    </row>
    <row r="38" ht="12.75">
      <c r="C38" t="s">
        <v>71</v>
      </c>
    </row>
    <row r="39" ht="12.75">
      <c r="B39" s="1" t="s">
        <v>65</v>
      </c>
    </row>
    <row r="40" ht="12.75">
      <c r="C40" t="s">
        <v>66</v>
      </c>
    </row>
    <row r="41" ht="12.75">
      <c r="C41" t="s">
        <v>67</v>
      </c>
    </row>
    <row r="42" ht="12.75">
      <c r="C42" t="s">
        <v>68</v>
      </c>
    </row>
    <row r="43" ht="12.75">
      <c r="C43" t="s">
        <v>69</v>
      </c>
    </row>
    <row r="44" ht="12.75">
      <c r="C44" t="s">
        <v>71</v>
      </c>
    </row>
    <row r="45" ht="12.75">
      <c r="B45" s="1" t="s">
        <v>90</v>
      </c>
    </row>
    <row r="46" ht="12.75">
      <c r="C46" t="s">
        <v>140</v>
      </c>
    </row>
    <row r="47" ht="12.75">
      <c r="D47" t="s">
        <v>139</v>
      </c>
    </row>
    <row r="48" ht="12.75">
      <c r="C48" t="s">
        <v>66</v>
      </c>
    </row>
    <row r="49" ht="12.75">
      <c r="C49" t="s">
        <v>67</v>
      </c>
    </row>
    <row r="50" ht="12.75">
      <c r="C50" t="s">
        <v>141</v>
      </c>
    </row>
    <row r="51" ht="12.75">
      <c r="C51" t="s">
        <v>142</v>
      </c>
    </row>
    <row r="52" ht="12.75">
      <c r="B52" s="1" t="s">
        <v>357</v>
      </c>
    </row>
    <row r="53" ht="12.75">
      <c r="C53" t="s">
        <v>358</v>
      </c>
    </row>
    <row r="54" ht="12.75">
      <c r="D54" t="s">
        <v>139</v>
      </c>
    </row>
    <row r="55" ht="12.75">
      <c r="C55" t="s">
        <v>66</v>
      </c>
    </row>
    <row r="56" ht="12.75">
      <c r="C56" t="s">
        <v>67</v>
      </c>
    </row>
    <row r="57" ht="12.75">
      <c r="C57" t="s">
        <v>141</v>
      </c>
    </row>
    <row r="58" ht="12.75">
      <c r="C58" t="s">
        <v>142</v>
      </c>
    </row>
    <row r="59" ht="12.75">
      <c r="B59" s="1" t="s">
        <v>16</v>
      </c>
    </row>
    <row r="60" ht="12.75">
      <c r="C60" t="s">
        <v>319</v>
      </c>
    </row>
    <row r="61" ht="12.75">
      <c r="C61" t="s">
        <v>401</v>
      </c>
    </row>
    <row r="62" ht="12.75">
      <c r="C62" t="s">
        <v>402</v>
      </c>
    </row>
    <row r="63" ht="12.75">
      <c r="B63" s="1" t="s">
        <v>91</v>
      </c>
    </row>
    <row r="64" ht="12.75">
      <c r="C64" t="s">
        <v>319</v>
      </c>
    </row>
    <row r="65" ht="12.75">
      <c r="C65" t="s">
        <v>318</v>
      </c>
    </row>
    <row r="66" ht="12.75">
      <c r="C66" t="s">
        <v>335</v>
      </c>
    </row>
    <row r="67" ht="12.75">
      <c r="B67" s="1" t="s">
        <v>9</v>
      </c>
    </row>
    <row r="68" ht="12.75">
      <c r="C68" t="s">
        <v>211</v>
      </c>
    </row>
    <row r="69" ht="12.75">
      <c r="D69" t="s">
        <v>212</v>
      </c>
    </row>
    <row r="70" ht="12.75">
      <c r="D70" t="s">
        <v>213</v>
      </c>
    </row>
    <row r="71" ht="12.75">
      <c r="C71" t="s">
        <v>204</v>
      </c>
    </row>
    <row r="72" ht="12.75">
      <c r="B72" s="1" t="s">
        <v>17</v>
      </c>
    </row>
    <row r="73" spans="2:3" ht="12.75">
      <c r="B73" s="1"/>
      <c r="C73" t="s">
        <v>312</v>
      </c>
    </row>
    <row r="74" spans="2:3" ht="12.75">
      <c r="B74" s="1"/>
      <c r="C74" t="s">
        <v>211</v>
      </c>
    </row>
    <row r="75" spans="2:3" ht="12.75">
      <c r="B75" s="1"/>
      <c r="C75" t="s">
        <v>313</v>
      </c>
    </row>
    <row r="76" ht="12.75">
      <c r="B76" s="1" t="s">
        <v>18</v>
      </c>
    </row>
    <row r="77" ht="12.75">
      <c r="C77" t="s">
        <v>111</v>
      </c>
    </row>
    <row r="78" spans="2:3" ht="12.75">
      <c r="B78" s="1"/>
      <c r="C78" t="s">
        <v>89</v>
      </c>
    </row>
    <row r="79" ht="12.75">
      <c r="C79" t="s">
        <v>63</v>
      </c>
    </row>
    <row r="80" ht="12.75">
      <c r="C80" t="s">
        <v>214</v>
      </c>
    </row>
    <row r="81" ht="12.75">
      <c r="C81" t="s">
        <v>203</v>
      </c>
    </row>
    <row r="82" ht="12.75">
      <c r="C82" t="s">
        <v>215</v>
      </c>
    </row>
    <row r="83" s="1" customFormat="1" ht="12.75">
      <c r="B83" s="1" t="s">
        <v>356</v>
      </c>
    </row>
    <row r="84" ht="12.75">
      <c r="C84" t="s">
        <v>143</v>
      </c>
    </row>
    <row r="85" ht="12.75">
      <c r="B85" s="1" t="s">
        <v>112</v>
      </c>
    </row>
    <row r="86" ht="12.75">
      <c r="C86" t="s">
        <v>113</v>
      </c>
    </row>
    <row r="87" ht="12.75">
      <c r="C87" t="s">
        <v>336</v>
      </c>
    </row>
    <row r="89" ht="12.75">
      <c r="A89" s="1" t="s">
        <v>217</v>
      </c>
    </row>
    <row r="90" ht="12.75">
      <c r="A90" s="1"/>
    </row>
    <row r="91" ht="12.75">
      <c r="B91" s="1" t="s">
        <v>218</v>
      </c>
    </row>
    <row r="92" ht="12.75">
      <c r="C92" t="s">
        <v>219</v>
      </c>
    </row>
    <row r="93" ht="12.75">
      <c r="B93" s="1" t="s">
        <v>220</v>
      </c>
    </row>
    <row r="94" ht="12.75">
      <c r="C94" t="s">
        <v>221</v>
      </c>
    </row>
    <row r="95" spans="2:3" ht="12.75">
      <c r="B95" s="81"/>
      <c r="C95" t="s">
        <v>222</v>
      </c>
    </row>
    <row r="96" spans="2:3" ht="12.75">
      <c r="B96" s="81"/>
      <c r="C96" t="s">
        <v>337</v>
      </c>
    </row>
    <row r="97" ht="12.75">
      <c r="B97" s="1" t="s">
        <v>223</v>
      </c>
    </row>
    <row r="98" ht="12.75">
      <c r="C98" t="s">
        <v>224</v>
      </c>
    </row>
    <row r="99" ht="12.75">
      <c r="C99" t="s">
        <v>339</v>
      </c>
    </row>
    <row r="100" ht="12.75">
      <c r="D100" t="s">
        <v>340</v>
      </c>
    </row>
    <row r="101" ht="12.75">
      <c r="B101" s="1" t="s">
        <v>225</v>
      </c>
    </row>
    <row r="102" ht="12.75">
      <c r="C102" t="s">
        <v>226</v>
      </c>
    </row>
    <row r="103" ht="12.75">
      <c r="C103" t="s">
        <v>322</v>
      </c>
    </row>
    <row r="104" ht="12.75">
      <c r="C104" t="s">
        <v>227</v>
      </c>
    </row>
    <row r="105" ht="12.75">
      <c r="C105" t="s">
        <v>238</v>
      </c>
    </row>
    <row r="106" ht="12.75">
      <c r="B106" s="1" t="s">
        <v>228</v>
      </c>
    </row>
    <row r="107" ht="12.75">
      <c r="C107" t="s">
        <v>229</v>
      </c>
    </row>
    <row r="108" ht="12.75">
      <c r="C108" t="s">
        <v>230</v>
      </c>
    </row>
    <row r="109" ht="12.75">
      <c r="B109" s="1" t="s">
        <v>231</v>
      </c>
    </row>
    <row r="110" ht="12.75">
      <c r="C110" t="s">
        <v>232</v>
      </c>
    </row>
    <row r="111" ht="12.75">
      <c r="C111" t="s">
        <v>233</v>
      </c>
    </row>
    <row r="112" ht="12.75">
      <c r="B112" s="1" t="s">
        <v>234</v>
      </c>
    </row>
    <row r="113" ht="12.75">
      <c r="C113" t="s">
        <v>235</v>
      </c>
    </row>
    <row r="114" ht="12.75">
      <c r="C114" t="s">
        <v>236</v>
      </c>
    </row>
    <row r="115" ht="12.75">
      <c r="C115" t="s">
        <v>237</v>
      </c>
    </row>
    <row r="116" ht="12.75">
      <c r="C116" t="s">
        <v>321</v>
      </c>
    </row>
    <row r="117" ht="12.75">
      <c r="B117" s="1" t="s">
        <v>239</v>
      </c>
    </row>
    <row r="118" ht="12.75">
      <c r="C118" t="s">
        <v>240</v>
      </c>
    </row>
    <row r="119" ht="12.75">
      <c r="C119" t="s">
        <v>338</v>
      </c>
    </row>
    <row r="120" ht="12.75">
      <c r="B120" s="1" t="s">
        <v>241</v>
      </c>
    </row>
    <row r="121" ht="12.75">
      <c r="C121" t="s">
        <v>252</v>
      </c>
    </row>
    <row r="122" ht="12.75">
      <c r="B122" s="1" t="s">
        <v>245</v>
      </c>
    </row>
    <row r="123" ht="12.75">
      <c r="C123" t="s">
        <v>246</v>
      </c>
    </row>
    <row r="124" ht="12.75">
      <c r="C124" t="s">
        <v>247</v>
      </c>
    </row>
    <row r="125" ht="12.75">
      <c r="B125" s="1" t="s">
        <v>248</v>
      </c>
    </row>
    <row r="126" ht="12.75">
      <c r="C126" t="s">
        <v>249</v>
      </c>
    </row>
    <row r="127" ht="12.75">
      <c r="C127" t="s">
        <v>250</v>
      </c>
    </row>
    <row r="128" ht="12.75">
      <c r="B128" s="1" t="s">
        <v>251</v>
      </c>
    </row>
    <row r="129" ht="12.75">
      <c r="C129" t="s">
        <v>242</v>
      </c>
    </row>
    <row r="130" ht="12.75">
      <c r="C130" t="s">
        <v>320</v>
      </c>
    </row>
    <row r="131" ht="12.75">
      <c r="D131" t="s">
        <v>243</v>
      </c>
    </row>
    <row r="132" ht="12.75">
      <c r="D132" t="s">
        <v>244</v>
      </c>
    </row>
  </sheetData>
  <sheetProtection selectLockedCells="1" selectUnlockedCells="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Calculator"/>
  <dimension ref="A1:P168"/>
  <sheetViews>
    <sheetView zoomScalePageLayoutView="0" workbookViewId="0" topLeftCell="A58">
      <selection activeCell="N9" sqref="N9"/>
    </sheetView>
  </sheetViews>
  <sheetFormatPr defaultColWidth="9.140625" defaultRowHeight="12.75"/>
  <cols>
    <col min="7" max="7" width="10.140625" style="0" bestFit="1" customWidth="1"/>
    <col min="12" max="12" width="10.57421875" style="0" bestFit="1" customWidth="1"/>
  </cols>
  <sheetData>
    <row r="1" spans="1:16" ht="33.75">
      <c r="A1" s="193" t="s">
        <v>260</v>
      </c>
      <c r="B1" s="193"/>
      <c r="C1" s="193"/>
      <c r="D1" s="193"/>
      <c r="E1" s="193"/>
      <c r="F1" s="193"/>
      <c r="G1" s="193"/>
      <c r="H1" s="193"/>
      <c r="I1" s="193"/>
      <c r="J1" s="193"/>
      <c r="K1" s="193"/>
      <c r="L1" s="193"/>
      <c r="M1" s="193"/>
      <c r="N1" s="193"/>
      <c r="O1" s="193"/>
      <c r="P1" s="3"/>
    </row>
    <row r="2" spans="1:16" ht="12.75">
      <c r="A2" s="3"/>
      <c r="B2" s="3"/>
      <c r="C2" s="3"/>
      <c r="D2" s="3"/>
      <c r="E2" s="3"/>
      <c r="F2" s="3"/>
      <c r="G2" s="3"/>
      <c r="H2" s="3"/>
      <c r="I2" s="3"/>
      <c r="J2" s="3"/>
      <c r="K2" s="3"/>
      <c r="L2" s="3"/>
      <c r="M2" s="3"/>
      <c r="N2" s="3"/>
      <c r="O2" s="3"/>
      <c r="P2" s="3"/>
    </row>
    <row r="3" spans="1:16" ht="12.75">
      <c r="A3" s="3" t="s">
        <v>269</v>
      </c>
      <c r="B3" s="3"/>
      <c r="C3" s="3"/>
      <c r="D3" s="3"/>
      <c r="E3" s="3"/>
      <c r="F3" s="3"/>
      <c r="G3" s="3"/>
      <c r="H3" s="3"/>
      <c r="I3" s="3"/>
      <c r="J3" s="3"/>
      <c r="K3" s="3"/>
      <c r="L3" s="3"/>
      <c r="M3" s="3"/>
      <c r="N3" s="3"/>
      <c r="O3" s="3"/>
      <c r="P3" s="3"/>
    </row>
    <row r="4" spans="1:16" ht="12.75">
      <c r="A4" s="3"/>
      <c r="B4" s="3"/>
      <c r="C4" s="3"/>
      <c r="D4" s="3"/>
      <c r="E4" s="3"/>
      <c r="F4" s="3"/>
      <c r="G4" s="3"/>
      <c r="H4" s="3"/>
      <c r="I4" s="3"/>
      <c r="J4" s="3"/>
      <c r="K4" s="3"/>
      <c r="L4" s="3"/>
      <c r="M4" s="3"/>
      <c r="N4" s="3"/>
      <c r="O4" s="3"/>
      <c r="P4" s="3"/>
    </row>
    <row r="5" spans="1:16" s="83" customFormat="1" ht="19.5" customHeight="1">
      <c r="A5" s="86" t="s">
        <v>262</v>
      </c>
      <c r="B5" s="213">
        <v>40576</v>
      </c>
      <c r="C5" s="213"/>
      <c r="D5" s="213"/>
      <c r="E5" s="213"/>
      <c r="F5" s="87" t="s">
        <v>263</v>
      </c>
      <c r="G5" s="213">
        <v>40576</v>
      </c>
      <c r="H5" s="213"/>
      <c r="I5" s="213"/>
      <c r="J5" s="213"/>
      <c r="K5" s="87" t="s">
        <v>268</v>
      </c>
      <c r="L5" s="214">
        <f>IF(CalcAS="Add",DATE(YEAR(DateCalc1)+CalcYears,MONTH(DateCalc1)+CalcMonths,DAY(DateCalc1)+(CalcWeeks*7)+CalcDays),DATE(YEAR(DateCalc1)-CalcYears,MONTH(DateCalc1)-CalcMonths,DAY(DateCalc1)-(CalcWeeks*7)-CalcDays))</f>
        <v>42006</v>
      </c>
      <c r="M5" s="214"/>
      <c r="N5" s="214"/>
      <c r="O5" s="214"/>
      <c r="P5" s="88"/>
    </row>
    <row r="6" spans="1:16" ht="12.75">
      <c r="A6" s="3"/>
      <c r="B6" s="3"/>
      <c r="C6" s="3"/>
      <c r="D6" s="3"/>
      <c r="E6" s="3"/>
      <c r="F6" s="3"/>
      <c r="G6" s="3"/>
      <c r="H6" s="3"/>
      <c r="I6" s="3"/>
      <c r="J6" s="3"/>
      <c r="K6" s="3"/>
      <c r="L6" s="3"/>
      <c r="M6" s="3"/>
      <c r="N6" s="3"/>
      <c r="O6" s="3"/>
      <c r="P6" s="3"/>
    </row>
    <row r="7" spans="1:16" ht="12.75">
      <c r="A7" s="3" t="s">
        <v>277</v>
      </c>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s="84" customFormat="1" ht="19.5" customHeight="1">
      <c r="A9" s="89"/>
      <c r="B9" s="122" t="s">
        <v>389</v>
      </c>
      <c r="C9" s="89"/>
      <c r="D9" s="89" t="s">
        <v>264</v>
      </c>
      <c r="E9" s="123"/>
      <c r="F9" s="89"/>
      <c r="G9" s="89" t="s">
        <v>267</v>
      </c>
      <c r="H9" s="123"/>
      <c r="I9" s="89"/>
      <c r="J9" s="89" t="s">
        <v>265</v>
      </c>
      <c r="K9" s="123">
        <v>47</v>
      </c>
      <c r="L9" s="89"/>
      <c r="M9" s="89" t="s">
        <v>266</v>
      </c>
      <c r="N9" s="123"/>
      <c r="O9" s="89"/>
      <c r="P9" s="89"/>
    </row>
    <row r="10" spans="1:16" ht="12.75">
      <c r="A10" s="3"/>
      <c r="B10" s="3"/>
      <c r="C10" s="3"/>
      <c r="D10" s="3"/>
      <c r="E10" s="3"/>
      <c r="F10" s="3"/>
      <c r="G10" s="3"/>
      <c r="H10" s="3"/>
      <c r="I10" s="3"/>
      <c r="J10" s="3"/>
      <c r="K10" s="3"/>
      <c r="L10" s="3"/>
      <c r="M10" s="3"/>
      <c r="N10" s="3"/>
      <c r="O10" s="3"/>
      <c r="P10" s="3"/>
    </row>
    <row r="11" spans="1:16" ht="12.75">
      <c r="A11" s="3"/>
      <c r="B11" s="3"/>
      <c r="C11" s="3"/>
      <c r="D11" s="3"/>
      <c r="E11" s="3"/>
      <c r="F11" s="95"/>
      <c r="G11" s="3"/>
      <c r="H11" s="3"/>
      <c r="I11" s="3"/>
      <c r="J11" s="3"/>
      <c r="K11" s="3"/>
      <c r="L11" s="3"/>
      <c r="M11" s="3"/>
      <c r="N11" s="3"/>
      <c r="O11" s="3"/>
      <c r="P11" s="3"/>
    </row>
    <row r="12" spans="1:16" ht="12.75">
      <c r="A12" s="3"/>
      <c r="B12" s="3"/>
      <c r="C12" s="3" t="s">
        <v>274</v>
      </c>
      <c r="D12" s="3"/>
      <c r="E12" s="3"/>
      <c r="F12" s="3"/>
      <c r="G12" s="3" t="s">
        <v>270</v>
      </c>
      <c r="H12" s="3"/>
      <c r="I12" s="3"/>
      <c r="J12" s="3"/>
      <c r="K12" s="3" t="s">
        <v>271</v>
      </c>
      <c r="L12" s="3"/>
      <c r="M12" s="3"/>
      <c r="N12" s="3"/>
      <c r="O12" s="3"/>
      <c r="P12" s="3"/>
    </row>
    <row r="13" spans="1:16" ht="12.75">
      <c r="A13" s="3"/>
      <c r="B13" s="3"/>
      <c r="C13" s="3"/>
      <c r="D13" s="3"/>
      <c r="E13" s="3"/>
      <c r="F13" s="3"/>
      <c r="G13" s="3"/>
      <c r="H13" s="3"/>
      <c r="I13" s="3"/>
      <c r="J13" s="3"/>
      <c r="K13" s="3"/>
      <c r="L13" s="3"/>
      <c r="M13" s="3"/>
      <c r="N13" s="3"/>
      <c r="O13" s="3"/>
      <c r="P13" s="3"/>
    </row>
    <row r="14" spans="1:16" ht="12.75">
      <c r="A14" s="91"/>
      <c r="B14" s="3"/>
      <c r="C14" s="3"/>
      <c r="D14" s="85">
        <f ca="1">IF(TODAY()&gt;=DateCalc1,TODAY()-DateCalc1,DateCalc1-TODAY())</f>
        <v>0</v>
      </c>
      <c r="E14" s="210" t="s">
        <v>272</v>
      </c>
      <c r="F14" s="210"/>
      <c r="G14" s="210"/>
      <c r="H14" s="85">
        <f>IF(DateCalc2&gt;=DateCalc1,DateCalc2-DateCalc1,DateCalc1-DateCalc2)</f>
        <v>0</v>
      </c>
      <c r="I14" s="210" t="s">
        <v>272</v>
      </c>
      <c r="J14" s="210"/>
      <c r="K14" s="210"/>
      <c r="L14" s="85">
        <f>IF(DateCalc3&gt;=DateCalc1,DateCalc3-DateCalc1,DateCalc1-DateCalc3)</f>
        <v>1430</v>
      </c>
      <c r="M14" s="3"/>
      <c r="N14" s="3"/>
      <c r="O14" s="3"/>
      <c r="P14" s="3"/>
    </row>
    <row r="15" spans="1:16" ht="12.75">
      <c r="A15" s="3"/>
      <c r="B15" s="3"/>
      <c r="C15" s="3"/>
      <c r="D15" s="3"/>
      <c r="E15" s="3"/>
      <c r="F15" s="3"/>
      <c r="G15" s="3"/>
      <c r="H15" s="3"/>
      <c r="I15" s="3"/>
      <c r="J15" s="3"/>
      <c r="K15" s="3"/>
      <c r="L15" s="3"/>
      <c r="M15" s="3"/>
      <c r="N15" s="3"/>
      <c r="O15" s="3"/>
      <c r="P15" s="3"/>
    </row>
    <row r="16" spans="1:16" ht="12.75">
      <c r="A16" s="91"/>
      <c r="B16" s="3"/>
      <c r="C16" s="3"/>
      <c r="D16" s="85">
        <f ca="1">IF(TODAY()&gt;=DateCalc1,GETWORKDAYS(DateCalc1,TODAY()),GETWORKDAYS(TODAY(),DateCalc1))</f>
        <v>1</v>
      </c>
      <c r="E16" s="210" t="s">
        <v>275</v>
      </c>
      <c r="F16" s="210"/>
      <c r="G16" s="210"/>
      <c r="H16" s="85">
        <f>IF(DateCalc2&gt;=DateCalc1,GETWORKDAYS(DateCalc1,DateCalc2),GETWORKDAYS(DateCalc2,DateCalc1))</f>
        <v>1</v>
      </c>
      <c r="I16" s="210" t="s">
        <v>275</v>
      </c>
      <c r="J16" s="210"/>
      <c r="K16" s="210"/>
      <c r="L16" s="85">
        <f>IF(DateCalc3&gt;=DateCalc1,GETWORKDAYS(DateCalc1,DateCalc3),GETWORKDAYS(DateCalc3,DateCalc1))</f>
        <v>1023</v>
      </c>
      <c r="M16" s="3"/>
      <c r="N16" s="3"/>
      <c r="O16" s="3"/>
      <c r="P16" s="3"/>
    </row>
    <row r="17" spans="1:16" ht="12.75">
      <c r="A17" s="3"/>
      <c r="B17" s="3"/>
      <c r="C17" s="3"/>
      <c r="D17" s="3"/>
      <c r="E17" s="3"/>
      <c r="F17" s="3"/>
      <c r="G17" s="3"/>
      <c r="H17" s="3"/>
      <c r="I17" s="3"/>
      <c r="J17" s="3"/>
      <c r="K17" s="3"/>
      <c r="L17" s="3"/>
      <c r="M17" s="3"/>
      <c r="N17" s="3"/>
      <c r="O17" s="3"/>
      <c r="P17" s="3"/>
    </row>
    <row r="18" spans="1:16" ht="12.75">
      <c r="A18" s="91"/>
      <c r="B18" s="3"/>
      <c r="C18" s="3"/>
      <c r="D18" s="85">
        <f ca="1">IF(TODAY()&gt;=DateCalc1,DATEDIF(DateCalc1,TODAY(),"m"),DATEDIF(TODAY(),DateCalc1,"m"))</f>
        <v>0</v>
      </c>
      <c r="E18" s="210" t="s">
        <v>273</v>
      </c>
      <c r="F18" s="210"/>
      <c r="G18" s="210"/>
      <c r="H18" s="85">
        <f>IF(DateCalc2&gt;=DateCalc1,DATEDIF(DateCalc1,DateCalc2,"m"),DATEDIF(DateCalc2,DateCalc1,"m"))</f>
        <v>0</v>
      </c>
      <c r="I18" s="90"/>
      <c r="J18" s="90" t="s">
        <v>273</v>
      </c>
      <c r="K18" s="90"/>
      <c r="L18" s="85">
        <f>IF(DateCalc3&gt;=DateCalc1,DATEDIF(DateCalc1,DateCalc3,"m"),DATEDIF(DateCalc3,DateCalc1,"m"))</f>
        <v>47</v>
      </c>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92">
        <f>FLOOR(D14/7,1)</f>
        <v>0</v>
      </c>
      <c r="E20" s="210" t="s">
        <v>276</v>
      </c>
      <c r="F20" s="210"/>
      <c r="G20" s="210"/>
      <c r="H20" s="92">
        <f>FLOOR(H14/7,1)</f>
        <v>0</v>
      </c>
      <c r="I20" s="210" t="s">
        <v>276</v>
      </c>
      <c r="J20" s="210"/>
      <c r="K20" s="210"/>
      <c r="L20" s="92">
        <f>FLOOR(L14/7,1)</f>
        <v>204</v>
      </c>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212" t="str">
        <f ca="1">IF(TODAY()&gt;=DateCalc1,DATEDIF(DateCalc1,TODAY(),"y")&amp;" years, "&amp;DATEDIF(DateCalc1,TODAY(),"ym")&amp;" months, "&amp;DATEDIF(DateCalc1,TODAY(),"md")&amp;" days",DATEDIF(TODAY(),DateCalc1,"y")&amp;" years, "&amp;DATEDIF(TODAY(),DateCalc1,"ym")&amp;" months, "&amp;DATEDIF(TODAY(),DateCalc1,"md")&amp;" days")</f>
        <v>0 years, 0 months, 0 days</v>
      </c>
      <c r="D22" s="212"/>
      <c r="E22" s="212"/>
      <c r="F22" s="3"/>
      <c r="G22" s="211" t="str">
        <f>IF(DateCalc2&gt;=DateCalc1,DATEDIF(DateCalc1,DateCalc2,"y")&amp;" years, "&amp;DATEDIF(DateCalc1,DateCalc2,"ym")&amp;" months, "&amp;DATEDIF(DateCalc1,DateCalc2,"md")&amp;" days",DATEDIF(DateCalc2,DateCalc1,"y")&amp;" years, "&amp;DATEDIF(DateCalc2,DateCalc1,"ym")&amp;" months, "&amp;DATEDIF(DateCalc2,DateCalc1,"md")&amp;" days")</f>
        <v>0 years, 0 months, 0 days</v>
      </c>
      <c r="H22" s="211"/>
      <c r="I22" s="211"/>
      <c r="J22" s="3"/>
      <c r="K22" s="211" t="str">
        <f>IF(DateCalc3&gt;=DateCalc1,DATEDIF(DateCalc1,DateCalc3,"y")&amp;" years, "&amp;DATEDIF(DateCalc1,DateCalc3,"ym")&amp;" months, "&amp;DATEDIF(DateCalc1,DateCalc3,"md")&amp;" days",DATEDIF(DateCalc3,DateCalc1,"y")&amp;" years, "&amp;DATEDIF(DateCalc3,DateCalc1,"ym")&amp;" months, "&amp;DATEDIF(DateCalc3,DateCalc1,"md")&amp;" days")</f>
        <v>3 years, 11 months, 0 days</v>
      </c>
      <c r="L22" s="211"/>
      <c r="M22" s="211"/>
      <c r="N22" s="3"/>
      <c r="O22" s="3"/>
      <c r="P22" s="3"/>
    </row>
    <row r="23" spans="1:16" ht="12.75" customHeight="1">
      <c r="A23" s="3"/>
      <c r="B23" s="93"/>
      <c r="C23" s="3"/>
      <c r="D23" s="3"/>
      <c r="E23" s="3"/>
      <c r="F23" s="3"/>
      <c r="G23" s="3"/>
      <c r="H23" s="3"/>
      <c r="I23" s="3"/>
      <c r="J23" s="3"/>
      <c r="K23" s="3"/>
      <c r="L23" s="3"/>
      <c r="M23" s="3"/>
      <c r="N23" s="3"/>
      <c r="O23" s="3"/>
      <c r="P23" s="3"/>
    </row>
    <row r="24" spans="1:16" ht="26.25">
      <c r="A24" s="207" t="s">
        <v>348</v>
      </c>
      <c r="B24" s="215"/>
      <c r="C24" s="215"/>
      <c r="D24" s="215"/>
      <c r="E24" s="215"/>
      <c r="F24" s="215"/>
      <c r="G24" s="215"/>
      <c r="H24" s="215"/>
      <c r="I24" s="215"/>
      <c r="J24" s="215"/>
      <c r="K24" s="215"/>
      <c r="L24" s="215"/>
      <c r="M24" s="215"/>
      <c r="N24" s="215"/>
      <c r="O24" s="215"/>
      <c r="P24" s="3"/>
    </row>
    <row r="25" spans="1:16" ht="12.75" customHeight="1">
      <c r="A25" s="120"/>
      <c r="B25" s="121"/>
      <c r="C25" s="121"/>
      <c r="D25" s="121"/>
      <c r="E25" s="121"/>
      <c r="F25" s="121"/>
      <c r="G25" s="121"/>
      <c r="H25" s="121"/>
      <c r="I25" s="121"/>
      <c r="J25" s="121"/>
      <c r="K25" s="121"/>
      <c r="L25" s="121"/>
      <c r="M25" s="121"/>
      <c r="N25" s="121"/>
      <c r="O25" s="121"/>
      <c r="P25" s="3"/>
    </row>
    <row r="26" spans="1:16" ht="12.75">
      <c r="A26" s="3" t="s">
        <v>352</v>
      </c>
      <c r="B26" s="3"/>
      <c r="C26" s="3"/>
      <c r="D26" s="3"/>
      <c r="E26" s="3"/>
      <c r="F26" s="3"/>
      <c r="G26" s="3"/>
      <c r="H26" s="3"/>
      <c r="I26" s="3"/>
      <c r="J26" s="3"/>
      <c r="K26" s="3"/>
      <c r="L26" s="3"/>
      <c r="M26" s="3"/>
      <c r="N26" s="3"/>
      <c r="O26" s="3"/>
      <c r="P26" s="3"/>
    </row>
    <row r="27" spans="1:16" ht="12.75" customHeight="1">
      <c r="A27" s="3"/>
      <c r="B27" s="3"/>
      <c r="C27" s="3"/>
      <c r="D27" s="3"/>
      <c r="E27" s="3"/>
      <c r="F27" s="3"/>
      <c r="G27" s="3"/>
      <c r="H27" s="3"/>
      <c r="I27" s="3"/>
      <c r="J27" s="3"/>
      <c r="K27" s="3"/>
      <c r="L27" s="3"/>
      <c r="M27" s="3"/>
      <c r="N27" s="3"/>
      <c r="O27" s="3"/>
      <c r="P27" s="3"/>
    </row>
    <row r="28" spans="1:16" ht="12.75" customHeight="1">
      <c r="A28" s="3"/>
      <c r="B28" s="3"/>
      <c r="C28" s="3"/>
      <c r="D28" s="3"/>
      <c r="E28" s="3"/>
      <c r="F28" s="3"/>
      <c r="G28" s="197" t="s">
        <v>349</v>
      </c>
      <c r="H28" s="197"/>
      <c r="I28" s="197"/>
      <c r="J28" s="3"/>
      <c r="K28" s="200">
        <f>IF(CalcNat="American",IF(CalcSex="Male",DATE(YEAR(DateCalc1)+74,MONTH(DateCalc1),DAY(DateCalc1)),DATE(YEAR(DateCalc1)+79,MONTH(DateCalc1),DAY(DateCalc1))),IF(CalcSex="Male",DATE(YEAR(DateCalc1)+76,MONTH(DateCalc1),DAY(DateCalc1)),DATE(YEAR(DateCalc1)+80,MONTH(DateCalc1),DAY(DateCalc1))))</f>
        <v>69796</v>
      </c>
      <c r="L28" s="200"/>
      <c r="M28" s="200"/>
      <c r="N28" s="200"/>
      <c r="O28" s="3"/>
      <c r="P28" s="3"/>
    </row>
    <row r="29" spans="1:16" ht="19.5" customHeight="1">
      <c r="A29" s="3"/>
      <c r="B29" s="202" t="s">
        <v>388</v>
      </c>
      <c r="C29" s="202"/>
      <c r="D29" s="3"/>
      <c r="E29" s="126" t="s">
        <v>404</v>
      </c>
      <c r="F29" s="3"/>
      <c r="G29" s="198" t="s">
        <v>350</v>
      </c>
      <c r="H29" s="198"/>
      <c r="I29" s="198"/>
      <c r="J29" s="198"/>
      <c r="K29" s="124">
        <f ca="1">K28-NOW()</f>
        <v>29219.165740625</v>
      </c>
      <c r="L29" s="125"/>
      <c r="M29" s="125"/>
      <c r="N29" s="125"/>
      <c r="O29" s="3"/>
      <c r="P29" s="3"/>
    </row>
    <row r="30" spans="1:16" ht="12.75" customHeight="1">
      <c r="A30" s="3"/>
      <c r="B30" s="3"/>
      <c r="C30" s="3"/>
      <c r="D30" s="3"/>
      <c r="E30" s="3"/>
      <c r="F30" s="3"/>
      <c r="G30" s="199" t="s">
        <v>351</v>
      </c>
      <c r="H30" s="199"/>
      <c r="I30" s="199"/>
      <c r="J30" s="3"/>
      <c r="K30" s="201" t="str">
        <f ca="1">DATEDIF(NOW(),K28,"y")&amp;" years, "&amp;DATEDIF(NOW(),K28,"ym")&amp;" months, "&amp;DATEDIF(NOW(),K28,"md")&amp;" days"</f>
        <v>80 years, 0 months, 0 days</v>
      </c>
      <c r="L30" s="201"/>
      <c r="M30" s="201"/>
      <c r="N30" s="201"/>
      <c r="O30" s="3"/>
      <c r="P30" s="3"/>
    </row>
    <row r="31" spans="1:16" ht="12.75">
      <c r="A31" s="3"/>
      <c r="B31" s="3"/>
      <c r="C31" s="3"/>
      <c r="D31" s="3"/>
      <c r="E31" s="3"/>
      <c r="F31" s="3"/>
      <c r="G31" s="3"/>
      <c r="H31" s="3"/>
      <c r="I31" s="3"/>
      <c r="J31" s="3"/>
      <c r="K31" s="3"/>
      <c r="L31" s="3"/>
      <c r="M31" s="3"/>
      <c r="N31" s="3"/>
      <c r="O31" s="3"/>
      <c r="P31" s="3"/>
    </row>
    <row r="32" spans="1:16" ht="27" customHeight="1">
      <c r="A32" s="207" t="s">
        <v>286</v>
      </c>
      <c r="B32" s="209"/>
      <c r="C32" s="209"/>
      <c r="D32" s="209"/>
      <c r="E32" s="209"/>
      <c r="F32" s="209"/>
      <c r="G32" s="209"/>
      <c r="H32" s="209"/>
      <c r="I32" s="209"/>
      <c r="J32" s="209"/>
      <c r="K32" s="209"/>
      <c r="L32" s="209"/>
      <c r="M32" s="209"/>
      <c r="N32" s="209"/>
      <c r="O32" s="209"/>
      <c r="P32" s="3"/>
    </row>
    <row r="33" spans="1:16" ht="12.75">
      <c r="A33" s="3"/>
      <c r="B33" s="3"/>
      <c r="C33" s="3"/>
      <c r="D33" s="3"/>
      <c r="E33" s="3"/>
      <c r="F33" s="3"/>
      <c r="G33" s="3"/>
      <c r="H33" s="3"/>
      <c r="I33" s="3"/>
      <c r="J33" s="3"/>
      <c r="K33" s="3"/>
      <c r="L33" s="3"/>
      <c r="M33" s="3"/>
      <c r="N33" s="3"/>
      <c r="O33" s="3"/>
      <c r="P33" s="3"/>
    </row>
    <row r="34" spans="1:16" ht="12.75">
      <c r="A34" s="3" t="s">
        <v>278</v>
      </c>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t="s">
        <v>280</v>
      </c>
      <c r="H36" s="3"/>
      <c r="I36" s="3" t="s">
        <v>281</v>
      </c>
      <c r="J36" s="3"/>
      <c r="K36" s="3" t="s">
        <v>282</v>
      </c>
      <c r="L36" s="3"/>
      <c r="M36" s="3" t="s">
        <v>283</v>
      </c>
      <c r="N36" s="3"/>
      <c r="O36" s="3"/>
      <c r="P36" s="3"/>
    </row>
    <row r="37" spans="1:16" ht="12.75">
      <c r="A37" s="3"/>
      <c r="B37" s="3"/>
      <c r="C37" s="3"/>
      <c r="D37" s="3"/>
      <c r="E37" s="3"/>
      <c r="F37" s="3"/>
      <c r="G37" s="3"/>
      <c r="H37" s="3"/>
      <c r="I37" s="3"/>
      <c r="J37" s="3"/>
      <c r="K37" s="3"/>
      <c r="L37" s="3"/>
      <c r="M37" s="3"/>
      <c r="N37" s="3"/>
      <c r="O37" s="3"/>
      <c r="P37" s="3"/>
    </row>
    <row r="38" spans="1:16" ht="12.75">
      <c r="A38" s="3"/>
      <c r="B38" s="3" t="s">
        <v>279</v>
      </c>
      <c r="C38" s="3"/>
      <c r="D38" s="3"/>
      <c r="E38" s="3"/>
      <c r="F38" s="3"/>
      <c r="G38" s="94">
        <f ca="1">TODAY()-DATE(YEAR(TODAY()),1,1)</f>
        <v>32</v>
      </c>
      <c r="H38" s="99"/>
      <c r="I38" s="94">
        <f>DateCalc1-DATE(YEAR(DateCalc1),1,1)</f>
        <v>32</v>
      </c>
      <c r="J38" s="100"/>
      <c r="K38" s="94">
        <f>DateCalc2-DATE(YEAR(DateCalc2),1,1)</f>
        <v>32</v>
      </c>
      <c r="L38" s="10"/>
      <c r="M38" s="94">
        <f>DateCalc3-DATE(YEAR(DateCalc3),1,1)</f>
        <v>1</v>
      </c>
      <c r="N38" s="10"/>
      <c r="O38" s="3"/>
      <c r="P38" s="3"/>
    </row>
    <row r="39" spans="1:16" ht="12.75">
      <c r="A39" s="3"/>
      <c r="B39" s="3"/>
      <c r="C39" s="3"/>
      <c r="D39" s="3"/>
      <c r="E39" s="3" t="s">
        <v>285</v>
      </c>
      <c r="F39" s="3"/>
      <c r="G39" s="208" t="str">
        <f ca="1">DATEDIF(DATE(YEAR(TODAY()),1,1),TODAY(),"ym")&amp;" months, "&amp;DATEDIF(DATE(YEAR(TODAY()),1,1),TODAY(),"md")&amp;" days"</f>
        <v>1 months, 1 days</v>
      </c>
      <c r="H39" s="208"/>
      <c r="I39" s="208" t="str">
        <f>DATEDIF(DATE(YEAR(DateCalc1),1,1),DateCalc1,"ym")&amp;" months, "&amp;DATEDIF(DATE(YEAR(DateCalc1),1,1),DateCalc1,"md")&amp;" days"</f>
        <v>1 months, 1 days</v>
      </c>
      <c r="J39" s="208"/>
      <c r="K39" s="208" t="str">
        <f>DATEDIF(DATE(YEAR(DateCalc2),1,1),DateCalc2,"ym")&amp;" months, "&amp;DATEDIF(DATE(YEAR(DateCalc2),1,1),DateCalc2,"md")&amp;" days"</f>
        <v>1 months, 1 days</v>
      </c>
      <c r="L39" s="208"/>
      <c r="M39" s="208" t="str">
        <f>DATEDIF(DATE(YEAR(DateCalc3),1,1),DateCalc3,"ym")&amp;" months, "&amp;DATEDIF(DATE(YEAR(DateCalc3),1,1),DateCalc3,"md")&amp;" days"</f>
        <v>0 months, 1 days</v>
      </c>
      <c r="N39" s="208"/>
      <c r="O39" s="3"/>
      <c r="P39" s="3"/>
    </row>
    <row r="40" spans="1:16" ht="12.75">
      <c r="A40" s="3"/>
      <c r="B40" s="3"/>
      <c r="C40" s="3"/>
      <c r="D40" s="3"/>
      <c r="E40" s="3"/>
      <c r="F40" s="3"/>
      <c r="G40" s="3"/>
      <c r="H40" s="3"/>
      <c r="I40" s="3"/>
      <c r="J40" s="3"/>
      <c r="K40" s="93"/>
      <c r="L40" s="3"/>
      <c r="M40" s="3"/>
      <c r="N40" s="3"/>
      <c r="O40" s="3"/>
      <c r="P40" s="3"/>
    </row>
    <row r="41" spans="1:16" ht="12.75">
      <c r="A41" s="3"/>
      <c r="B41" s="3" t="s">
        <v>284</v>
      </c>
      <c r="C41" s="3"/>
      <c r="D41" s="3"/>
      <c r="E41" s="3"/>
      <c r="F41" s="3"/>
      <c r="G41" s="94">
        <f ca="1">DATE(YEAR(TODAY()),12,31)-TODAY()</f>
        <v>332</v>
      </c>
      <c r="H41" s="10"/>
      <c r="I41" s="94">
        <f>DATE(YEAR(DateCalc1),12,31)-DateCalc1</f>
        <v>332</v>
      </c>
      <c r="J41" s="10"/>
      <c r="K41" s="94">
        <f>DATE(YEAR(DateCalc2),12,31)-DateCalc2</f>
        <v>332</v>
      </c>
      <c r="L41" s="10"/>
      <c r="M41" s="94">
        <f>DATE(YEAR(DateCalc3),12,31)-DateCalc3</f>
        <v>363</v>
      </c>
      <c r="N41" s="10"/>
      <c r="O41" s="3"/>
      <c r="P41" s="3"/>
    </row>
    <row r="42" spans="1:16" ht="12.75">
      <c r="A42" s="3"/>
      <c r="B42" s="3"/>
      <c r="C42" s="3"/>
      <c r="D42" s="3"/>
      <c r="E42" s="3" t="s">
        <v>285</v>
      </c>
      <c r="F42" s="3"/>
      <c r="G42" s="208" t="str">
        <f ca="1">DATEDIF(TODAY(),DATE(YEAR(TODAY()),12,31),"ym")&amp;" months, "&amp;DATEDIF(TODAY(),DATE(YEAR(TODAY()),12,31),"md")&amp;" days"</f>
        <v>10 months, 29 days</v>
      </c>
      <c r="H42" s="208"/>
      <c r="I42" s="208" t="str">
        <f>DATEDIF(DateCalc1,DATE(YEAR(DateCalc1),12,31),"ym")&amp;" months, "&amp;DATEDIF(DateCalc1,DATE(YEAR(DateCalc1),12,31),"md")&amp;" days"</f>
        <v>10 months, 29 days</v>
      </c>
      <c r="J42" s="208"/>
      <c r="K42" s="208" t="str">
        <f>DATEDIF(DateCalc2,DATE(YEAR(DateCalc2),12,31),"ym")&amp;" months, "&amp;DATEDIF(DateCalc2,DATE(YEAR(DateCalc2),12,31),"md")&amp;" days"</f>
        <v>10 months, 29 days</v>
      </c>
      <c r="L42" s="208"/>
      <c r="M42" s="208" t="str">
        <f>DATEDIF(DateCalc3,DATE(YEAR(DateCalc3),12,31),"ym")&amp;" months, "&amp;DATEDIF(DateCalc3,DATE(YEAR(DateCalc3),12,31),"md")&amp;" days"</f>
        <v>11 months, 29 days</v>
      </c>
      <c r="N42" s="208"/>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93"/>
      <c r="H44" s="3"/>
      <c r="I44" s="93"/>
      <c r="J44" s="3"/>
      <c r="K44" s="93"/>
      <c r="L44" s="3"/>
      <c r="M44" s="93"/>
      <c r="N44" s="3"/>
      <c r="O44" s="3"/>
      <c r="P44" s="3"/>
    </row>
    <row r="45" spans="1:16" s="96" customFormat="1" ht="26.25">
      <c r="A45" s="207" t="s">
        <v>291</v>
      </c>
      <c r="B45" s="207"/>
      <c r="C45" s="207"/>
      <c r="D45" s="207"/>
      <c r="E45" s="207"/>
      <c r="F45" s="207"/>
      <c r="G45" s="207"/>
      <c r="H45" s="207"/>
      <c r="I45" s="207"/>
      <c r="J45" s="207"/>
      <c r="K45" s="207"/>
      <c r="L45" s="207"/>
      <c r="M45" s="207"/>
      <c r="N45" s="207"/>
      <c r="O45" s="207"/>
      <c r="P45" s="97"/>
    </row>
    <row r="46" spans="1:16" ht="12.75">
      <c r="A46" s="3"/>
      <c r="B46" s="3"/>
      <c r="C46" s="3"/>
      <c r="D46" s="3"/>
      <c r="E46" s="3"/>
      <c r="F46" s="3"/>
      <c r="G46" s="3"/>
      <c r="H46" s="3"/>
      <c r="I46" s="3"/>
      <c r="J46" s="3"/>
      <c r="K46" s="3"/>
      <c r="L46" s="3"/>
      <c r="M46" s="3"/>
      <c r="N46" s="3"/>
      <c r="O46" s="3"/>
      <c r="P46" s="3"/>
    </row>
    <row r="47" spans="1:16" ht="12.75">
      <c r="A47" s="3" t="s">
        <v>278</v>
      </c>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t="s">
        <v>287</v>
      </c>
      <c r="E49" s="3"/>
      <c r="F49" s="3"/>
      <c r="G49" s="3" t="s">
        <v>281</v>
      </c>
      <c r="H49" s="3"/>
      <c r="I49" s="3"/>
      <c r="J49" s="3" t="s">
        <v>282</v>
      </c>
      <c r="K49" s="3"/>
      <c r="L49" s="3"/>
      <c r="M49" s="3" t="s">
        <v>283</v>
      </c>
      <c r="N49" s="3"/>
      <c r="O49" s="3"/>
      <c r="P49" s="3"/>
    </row>
    <row r="50" spans="1:16" ht="12.75">
      <c r="A50" s="3"/>
      <c r="B50" s="3"/>
      <c r="C50" s="3"/>
      <c r="D50" s="3"/>
      <c r="E50" s="3"/>
      <c r="F50" s="3"/>
      <c r="G50" s="3"/>
      <c r="H50" s="3"/>
      <c r="I50" s="3"/>
      <c r="J50" s="3"/>
      <c r="K50" s="3"/>
      <c r="L50" s="3"/>
      <c r="M50" s="3"/>
      <c r="N50" s="3"/>
      <c r="O50" s="3"/>
      <c r="P50" s="3"/>
    </row>
    <row r="51" spans="1:16" ht="15.75">
      <c r="A51" s="101" t="s">
        <v>297</v>
      </c>
      <c r="B51" s="13"/>
      <c r="C51" s="13"/>
      <c r="D51" s="13"/>
      <c r="E51" s="13"/>
      <c r="F51" s="3"/>
      <c r="G51" s="3"/>
      <c r="H51" s="3"/>
      <c r="I51" s="3"/>
      <c r="J51" s="3"/>
      <c r="K51" s="3"/>
      <c r="L51" s="3"/>
      <c r="M51" s="3"/>
      <c r="N51" s="3"/>
      <c r="O51" s="3"/>
      <c r="P51" s="3"/>
    </row>
    <row r="52" spans="1:16" ht="12.75">
      <c r="A52" s="3"/>
      <c r="B52" s="3"/>
      <c r="C52" s="3"/>
      <c r="D52" s="206">
        <f ca="1">NDow(YEAR(TODAY()),1,3,2)</f>
        <v>40560</v>
      </c>
      <c r="E52" s="206"/>
      <c r="F52" s="206"/>
      <c r="G52" s="206">
        <f>NDow(YEAR(DateCalc1),1,3,2)</f>
        <v>40560</v>
      </c>
      <c r="H52" s="206"/>
      <c r="I52" s="206"/>
      <c r="J52" s="206">
        <f>NDow(YEAR(DateCalc2),1,3,2)</f>
        <v>40560</v>
      </c>
      <c r="K52" s="206"/>
      <c r="L52" s="206"/>
      <c r="M52" s="206">
        <f>NDow(YEAR(DateCalc3),1,3,2)</f>
        <v>42023</v>
      </c>
      <c r="N52" s="206"/>
      <c r="O52" s="206"/>
      <c r="P52" s="3"/>
    </row>
    <row r="53" spans="1:16" ht="12.75">
      <c r="A53" s="3"/>
      <c r="B53" s="3" t="s">
        <v>292</v>
      </c>
      <c r="C53" s="3"/>
      <c r="D53" s="204">
        <f ca="1">IF(TODAY()&gt;D52,NDow(YEAR(TODAY())+1,1,3,2),"")</f>
        <v>40924</v>
      </c>
      <c r="E53" s="204"/>
      <c r="F53" s="204"/>
      <c r="G53" s="204">
        <f>IF(DateCalc1&gt;G52,NDow(YEAR(DateCalc1)+1,1,3,2),"")</f>
        <v>40924</v>
      </c>
      <c r="H53" s="204"/>
      <c r="I53" s="204"/>
      <c r="J53" s="204">
        <f>IF(DateCalc2&gt;J52,NDow(YEAR(DateCalc2)+1,1,3,2),"")</f>
        <v>40924</v>
      </c>
      <c r="K53" s="204"/>
      <c r="L53" s="204"/>
      <c r="M53" s="204">
        <f>IF(DateCalc3&gt;M52,NDow(YEAR(DateCalc3)+1,1,3,2),"")</f>
      </c>
      <c r="N53" s="204"/>
      <c r="O53" s="204"/>
      <c r="P53" s="3"/>
    </row>
    <row r="54" spans="1:16" ht="12.75">
      <c r="A54" s="3"/>
      <c r="B54" s="3" t="s">
        <v>288</v>
      </c>
      <c r="C54" s="3"/>
      <c r="D54" s="10">
        <f ca="1">IF(D53="",D52-TODAY(),D53-TODAY())</f>
        <v>348</v>
      </c>
      <c r="E54" s="10"/>
      <c r="F54" s="10"/>
      <c r="G54" s="10">
        <f>IF(G53="",G52-DateCalc1,G53-DateCalc1)</f>
        <v>348</v>
      </c>
      <c r="H54" s="10"/>
      <c r="I54" s="10"/>
      <c r="J54" s="10">
        <f>IF(J53="",J52-DateCalc2,J53-DateCalc2)</f>
        <v>348</v>
      </c>
      <c r="K54" s="10"/>
      <c r="L54" s="10"/>
      <c r="M54" s="10">
        <f>IF(M53="",M52-DateCalc3,M53-DateCalc3)</f>
        <v>17</v>
      </c>
      <c r="N54" s="10"/>
      <c r="O54" s="10"/>
      <c r="P54" s="3"/>
    </row>
    <row r="55" spans="1:16" ht="12.75">
      <c r="A55" s="3"/>
      <c r="B55" s="3" t="s">
        <v>351</v>
      </c>
      <c r="C55" s="3"/>
      <c r="D55" s="203" t="str">
        <f ca="1">IF(D53="",DATEDIF(TODAY(),D52,"ym")&amp;" months, "&amp;DATEDIF(TODAY(),D52,"md")&amp;" days",DATEDIF(TODAY(),D53,"ym")&amp;" months, "&amp;DATEDIF(TODAY(),D53,"md")&amp;" days")</f>
        <v>11 months, 14 days</v>
      </c>
      <c r="E55" s="203"/>
      <c r="F55" s="10"/>
      <c r="G55" s="205" t="str">
        <f>IF(G53="",DATEDIF(DateCalc1,G52,"ym")&amp;" months, "&amp;DATEDIF(DateCalc1,G52,"md")&amp;" days",DATEDIF(DateCalc1,G53,"ym")&amp;" months, "&amp;DATEDIF(DateCalc1,G53,"md")&amp;" days")</f>
        <v>11 months, 14 days</v>
      </c>
      <c r="H55" s="205"/>
      <c r="I55" s="10"/>
      <c r="J55" s="203" t="str">
        <f>IF(J53="",DATEDIF(DateCalc2,J52,"ym")&amp;" months, "&amp;DATEDIF(DateCalc2,J52,"md")&amp;" days",DATEDIF(DateCalc2,J53,"ym")&amp;" months, "&amp;DATEDIF(DateCalc2,J53,"md")&amp;" days")</f>
        <v>11 months, 14 days</v>
      </c>
      <c r="K55" s="203"/>
      <c r="L55" s="10"/>
      <c r="M55" s="203" t="str">
        <f>IF(M53="",DATEDIF(DateCalc3,M52,"ym")&amp;" months, "&amp;DATEDIF(DateCalc3,M52,"md")&amp;" days",DATEDIF(DateCalc3,M53,"ym")&amp;" months, "&amp;DATEDIF(DateCalc3,M53,"md")&amp;" days")</f>
        <v>0 months, 17 days</v>
      </c>
      <c r="N55" s="203"/>
      <c r="O55" s="10"/>
      <c r="P55" s="3"/>
    </row>
    <row r="56" spans="1:16" ht="12.75">
      <c r="A56" s="3"/>
      <c r="B56" s="3"/>
      <c r="C56" s="3"/>
      <c r="D56" s="3"/>
      <c r="E56" s="3"/>
      <c r="F56" s="3"/>
      <c r="G56" s="3"/>
      <c r="H56" s="3"/>
      <c r="I56" s="3"/>
      <c r="J56" s="3"/>
      <c r="K56" s="3"/>
      <c r="L56" s="3"/>
      <c r="M56" s="3"/>
      <c r="N56" s="3"/>
      <c r="O56" s="3"/>
      <c r="P56" s="3"/>
    </row>
    <row r="57" spans="1:16" ht="15.75">
      <c r="A57" s="101" t="s">
        <v>305</v>
      </c>
      <c r="B57" s="3"/>
      <c r="C57" s="3"/>
      <c r="D57" s="3"/>
      <c r="E57" s="3"/>
      <c r="F57" s="3"/>
      <c r="G57" s="3"/>
      <c r="H57" s="3"/>
      <c r="I57" s="3"/>
      <c r="J57" s="3"/>
      <c r="K57" s="3"/>
      <c r="L57" s="3"/>
      <c r="M57" s="3"/>
      <c r="N57" s="3"/>
      <c r="O57" s="3"/>
      <c r="P57" s="3"/>
    </row>
    <row r="58" spans="1:16" ht="12.75">
      <c r="A58" s="3"/>
      <c r="B58" s="3"/>
      <c r="C58" s="3"/>
      <c r="D58" s="204">
        <f ca="1">DATE(YEAR(TODAY()),2,2)</f>
        <v>40576</v>
      </c>
      <c r="E58" s="204"/>
      <c r="F58" s="204"/>
      <c r="G58" s="204">
        <f>DATE(YEAR(DateCalc1),2,2)</f>
        <v>40576</v>
      </c>
      <c r="H58" s="204"/>
      <c r="I58" s="204"/>
      <c r="J58" s="204">
        <f>DATE(YEAR(DateCalc2),2,2)</f>
        <v>40576</v>
      </c>
      <c r="K58" s="204"/>
      <c r="L58" s="204"/>
      <c r="M58" s="204">
        <f>DATE(YEAR(DateCalc3),2,2)</f>
        <v>42037</v>
      </c>
      <c r="N58" s="204"/>
      <c r="O58" s="204"/>
      <c r="P58" s="3"/>
    </row>
    <row r="59" spans="1:16" ht="12.75">
      <c r="A59" s="3"/>
      <c r="B59" s="3" t="s">
        <v>293</v>
      </c>
      <c r="C59" s="3"/>
      <c r="D59" s="204">
        <f ca="1">IF(TODAY()&gt;D58,DATE(YEAR(TODAY())+1,2,2),"")</f>
      </c>
      <c r="E59" s="204"/>
      <c r="F59" s="204"/>
      <c r="G59" s="204">
        <f>IF(DateCalc1&gt;G58,DATE(YEAR(DateCalc1)+1,2,2),"")</f>
      </c>
      <c r="H59" s="204"/>
      <c r="I59" s="204"/>
      <c r="J59" s="204">
        <f>IF(DateCalc2&gt;J58,DATE(YEAR(DateCalc2)+1,2,2),"")</f>
      </c>
      <c r="K59" s="204"/>
      <c r="L59" s="204"/>
      <c r="M59" s="204">
        <f>IF(DateCalc3&gt;M58,DATE(YEAR(DateCalc3)+1,2,2),"")</f>
      </c>
      <c r="N59" s="204"/>
      <c r="O59" s="204"/>
      <c r="P59" s="3"/>
    </row>
    <row r="60" spans="1:16" ht="12.75">
      <c r="A60" s="3"/>
      <c r="B60" s="3" t="s">
        <v>288</v>
      </c>
      <c r="C60" s="3"/>
      <c r="D60" s="10">
        <f ca="1">IF(D59="",D58-TODAY(),D59-TODAY())</f>
        <v>0</v>
      </c>
      <c r="E60" s="10"/>
      <c r="F60" s="10"/>
      <c r="G60" s="10">
        <f>IF(G59="",G58-DateCalc1,G59-DateCalc1)</f>
        <v>0</v>
      </c>
      <c r="H60" s="10"/>
      <c r="I60" s="10"/>
      <c r="J60" s="10">
        <f>IF(J59="",J58-DateCalc2,J59-DateCalc2)</f>
        <v>0</v>
      </c>
      <c r="K60" s="10"/>
      <c r="L60" s="10"/>
      <c r="M60" s="10">
        <f>IF(M59="",M58-DateCalc3,M59-DateCalc3)</f>
        <v>31</v>
      </c>
      <c r="N60" s="10"/>
      <c r="O60" s="10"/>
      <c r="P60" s="3"/>
    </row>
    <row r="61" spans="1:16" ht="12.75">
      <c r="A61" s="3"/>
      <c r="B61" s="3" t="s">
        <v>351</v>
      </c>
      <c r="C61" s="3"/>
      <c r="D61" s="203" t="str">
        <f ca="1">IF(D59="",DATEDIF(TODAY(),D58,"ym")&amp;" months, "&amp;DATEDIF(TODAY(),D58,"md")&amp;" days",DATEDIF(TODAY(),D59,"ym")&amp;" months, "&amp;DATEDIF(TODAY(),D59,"md")&amp;" days")</f>
        <v>0 months, 0 days</v>
      </c>
      <c r="E61" s="203"/>
      <c r="F61" s="10"/>
      <c r="G61" s="203" t="str">
        <f>IF(G59="",DATEDIF(DateCalc1,G58,"ym")&amp;" months, "&amp;DATEDIF(DateCalc1,G58,"md")&amp;" days",DATEDIF(DateCalc1,G59,"ym")&amp;" months, "&amp;DATEDIF(DateCalc1,G59,"md")&amp;" days")</f>
        <v>0 months, 0 days</v>
      </c>
      <c r="H61" s="203"/>
      <c r="I61" s="10"/>
      <c r="J61" s="98" t="str">
        <f>IF(J59="",DATEDIF(DateCalc2,J58,"ym")&amp;" months, "&amp;DATEDIF(DateCalc2,J58,"md")&amp;" days",DATEDIF(DateCalc2,J59,"ym")&amp;" months, "&amp;DATEDIF(DateCalc2,J59,"md")&amp;" days")</f>
        <v>0 months, 0 days</v>
      </c>
      <c r="K61" s="98"/>
      <c r="L61" s="10"/>
      <c r="M61" s="98" t="str">
        <f>IF(M59="",DATEDIF(DateCalc3,M58,"ym")&amp;" months, "&amp;DATEDIF(DateCalc3,M58,"md")&amp;" days",DATEDIF(DateCalc3,M59,"ym")&amp;" months, "&amp;DATEDIF(DateCalc3,M59,"md")&amp;" days")</f>
        <v>1 months, 0 days</v>
      </c>
      <c r="N61" s="98"/>
      <c r="O61" s="10"/>
      <c r="P61" s="3"/>
    </row>
    <row r="62" spans="1:16" ht="12.75">
      <c r="A62" s="3"/>
      <c r="B62" s="3"/>
      <c r="C62" s="3"/>
      <c r="D62" s="3"/>
      <c r="E62" s="3"/>
      <c r="F62" s="3"/>
      <c r="G62" s="3"/>
      <c r="H62" s="3"/>
      <c r="I62" s="3"/>
      <c r="J62" s="3"/>
      <c r="K62" s="3"/>
      <c r="L62" s="3"/>
      <c r="M62" s="3"/>
      <c r="N62" s="3"/>
      <c r="O62" s="3"/>
      <c r="P62" s="3"/>
    </row>
    <row r="63" spans="1:16" ht="15.75">
      <c r="A63" s="101" t="s">
        <v>306</v>
      </c>
      <c r="B63" s="3"/>
      <c r="C63" s="3"/>
      <c r="D63" s="3"/>
      <c r="E63" s="3"/>
      <c r="F63" s="3"/>
      <c r="G63" s="3"/>
      <c r="H63" s="3"/>
      <c r="I63" s="3"/>
      <c r="J63" s="3"/>
      <c r="K63" s="3"/>
      <c r="L63" s="3"/>
      <c r="M63" s="3"/>
      <c r="N63" s="3"/>
      <c r="O63" s="3"/>
      <c r="P63" s="3"/>
    </row>
    <row r="64" spans="1:16" ht="12.75">
      <c r="A64" s="3"/>
      <c r="B64" s="3"/>
      <c r="C64" s="3"/>
      <c r="D64" s="204">
        <f ca="1">DATE(YEAR(TODAY()),2,14)</f>
        <v>40588</v>
      </c>
      <c r="E64" s="204"/>
      <c r="F64" s="204"/>
      <c r="G64" s="204">
        <f>DATE(YEAR(DateCalc1),2,14)</f>
        <v>40588</v>
      </c>
      <c r="H64" s="204"/>
      <c r="I64" s="204"/>
      <c r="J64" s="204">
        <f>DATE(YEAR(DateCalc2),2,14)</f>
        <v>40588</v>
      </c>
      <c r="K64" s="204"/>
      <c r="L64" s="204"/>
      <c r="M64" s="204">
        <f>DATE(YEAR(DateCalc3),2,14)</f>
        <v>42049</v>
      </c>
      <c r="N64" s="204"/>
      <c r="O64" s="204"/>
      <c r="P64" s="3"/>
    </row>
    <row r="65" spans="1:16" ht="12.75">
      <c r="A65" s="3"/>
      <c r="B65" s="3" t="s">
        <v>293</v>
      </c>
      <c r="C65" s="3"/>
      <c r="D65" s="204">
        <f ca="1">IF(TODAY()&gt;D64,DATE(YEAR(TODAY())+1,2,14),"")</f>
      </c>
      <c r="E65" s="204"/>
      <c r="F65" s="204"/>
      <c r="G65" s="204">
        <f>IF(DateCalc1&gt;G64,DATE(YEAR(DateCalc1)+1,2,14),"")</f>
      </c>
      <c r="H65" s="204"/>
      <c r="I65" s="204"/>
      <c r="J65" s="204">
        <f>IF(DateCalc2&gt;J64,DATE(YEAR(DateCalc2)+1,2,14),"")</f>
      </c>
      <c r="K65" s="204"/>
      <c r="L65" s="204"/>
      <c r="M65" s="204">
        <f>IF(DateCalc3&gt;M64,DATE(YEAR(DateCalc3)+1,2,14),"")</f>
      </c>
      <c r="N65" s="204"/>
      <c r="O65" s="204"/>
      <c r="P65" s="3"/>
    </row>
    <row r="66" spans="1:16" ht="12.75">
      <c r="A66" s="3"/>
      <c r="B66" s="3" t="s">
        <v>288</v>
      </c>
      <c r="C66" s="3"/>
      <c r="D66" s="10">
        <f ca="1">IF(D65="",D64-TODAY(),D65-TODAY())</f>
        <v>12</v>
      </c>
      <c r="E66" s="10"/>
      <c r="F66" s="10"/>
      <c r="G66" s="10">
        <f>IF(G65="",G64-DateCalc1,G65-DateCalc1)</f>
        <v>12</v>
      </c>
      <c r="H66" s="10"/>
      <c r="I66" s="10"/>
      <c r="J66" s="10">
        <f>IF(J65="",J64-DateCalc2,J65-DateCalc2)</f>
        <v>12</v>
      </c>
      <c r="K66" s="10"/>
      <c r="L66" s="10"/>
      <c r="M66" s="10">
        <f>IF(M65="",M64-DateCalc3,M65-DateCalc3)</f>
        <v>43</v>
      </c>
      <c r="N66" s="10"/>
      <c r="O66" s="10"/>
      <c r="P66" s="3"/>
    </row>
    <row r="67" spans="1:16" ht="12.75">
      <c r="A67" s="3"/>
      <c r="B67" s="3" t="s">
        <v>351</v>
      </c>
      <c r="C67" s="3"/>
      <c r="D67" s="203" t="str">
        <f ca="1">IF(D65="",DATEDIF(TODAY(),D64,"ym")&amp;" months, "&amp;DATEDIF(TODAY(),D64,"md")&amp;" days",DATEDIF(TODAY(),D65,"ym")&amp;" months, "&amp;DATEDIF(TODAY(),D65,"md")&amp;" days")</f>
        <v>0 months, 12 days</v>
      </c>
      <c r="E67" s="203"/>
      <c r="F67" s="10"/>
      <c r="G67" s="203" t="str">
        <f>IF(G65="",DATEDIF(DateCalc1,G64,"ym")&amp;" months, "&amp;DATEDIF(DateCalc1,G64,"md")&amp;" days",DATEDIF(DateCalc1,G65,"ym")&amp;" months, "&amp;DATEDIF(DateCalc1,G65,"md")&amp;" days")</f>
        <v>0 months, 12 days</v>
      </c>
      <c r="H67" s="203"/>
      <c r="I67" s="10"/>
      <c r="J67" s="98" t="str">
        <f>IF(J65="",DATEDIF(DateCalc2,J64,"ym")&amp;" months, "&amp;DATEDIF(DateCalc2,J64,"md")&amp;" days",DATEDIF(DateCalc2,J65,"ym")&amp;" months, "&amp;DATEDIF(DateCalc2,J65,"md")&amp;" days")</f>
        <v>0 months, 12 days</v>
      </c>
      <c r="K67" s="98"/>
      <c r="L67" s="10"/>
      <c r="M67" s="98" t="str">
        <f>IF(M65="",DATEDIF(DateCalc3,M64,"ym")&amp;" months, "&amp;DATEDIF(DateCalc3,M64,"md")&amp;" days",DATEDIF(DateCalc3,M65,"ym")&amp;" months, "&amp;DATEDIF(DateCalc3,M65,"md")&amp;" days")</f>
        <v>1 months, 12 days</v>
      </c>
      <c r="N67" s="98"/>
      <c r="O67" s="10"/>
      <c r="P67" s="3"/>
    </row>
    <row r="68" spans="1:16" ht="12.75">
      <c r="A68" s="3"/>
      <c r="B68" s="3"/>
      <c r="C68" s="3"/>
      <c r="D68" s="3"/>
      <c r="E68" s="3"/>
      <c r="F68" s="3"/>
      <c r="G68" s="3"/>
      <c r="H68" s="3"/>
      <c r="I68" s="3"/>
      <c r="J68" s="3"/>
      <c r="K68" s="3"/>
      <c r="L68" s="3"/>
      <c r="M68" s="3"/>
      <c r="N68" s="3"/>
      <c r="O68" s="3"/>
      <c r="P68" s="3"/>
    </row>
    <row r="69" spans="1:16" ht="15.75">
      <c r="A69" s="101" t="s">
        <v>296</v>
      </c>
      <c r="B69" s="3"/>
      <c r="C69" s="3"/>
      <c r="D69" s="3"/>
      <c r="E69" s="3"/>
      <c r="F69" s="3"/>
      <c r="G69" s="3"/>
      <c r="H69" s="3"/>
      <c r="I69" s="3"/>
      <c r="J69" s="3"/>
      <c r="K69" s="3"/>
      <c r="L69" s="3"/>
      <c r="M69" s="3"/>
      <c r="N69" s="3"/>
      <c r="O69" s="3"/>
      <c r="P69" s="3"/>
    </row>
    <row r="70" spans="1:16" ht="12.75">
      <c r="A70" s="3"/>
      <c r="B70" s="3"/>
      <c r="C70" s="3"/>
      <c r="D70" s="206">
        <f ca="1">NDow(YEAR(TODAY()),2,3,2)</f>
        <v>40595</v>
      </c>
      <c r="E70" s="206"/>
      <c r="F70" s="206"/>
      <c r="G70" s="206">
        <f>NDow(YEAR(DateCalc1),2,3,2)</f>
        <v>40595</v>
      </c>
      <c r="H70" s="206"/>
      <c r="I70" s="206"/>
      <c r="J70" s="206">
        <f>NDow(YEAR(DateCalc2),2,3,2)</f>
        <v>40595</v>
      </c>
      <c r="K70" s="206"/>
      <c r="L70" s="206"/>
      <c r="M70" s="206">
        <f>NDow(YEAR(DateCalc3),2,3,2)</f>
        <v>42051</v>
      </c>
      <c r="N70" s="206"/>
      <c r="O70" s="206"/>
      <c r="P70" s="3"/>
    </row>
    <row r="71" spans="1:16" ht="12.75">
      <c r="A71" s="3"/>
      <c r="B71" s="3" t="s">
        <v>292</v>
      </c>
      <c r="C71" s="3"/>
      <c r="D71" s="204">
        <f ca="1">IF(TODAY()&gt;D70,NDow(YEAR(TODAY())+1,2,3,2),"")</f>
      </c>
      <c r="E71" s="204"/>
      <c r="F71" s="204"/>
      <c r="G71" s="204">
        <f>IF(DateCalc1&gt;G70,NDow(YEAR(DateCalc1)+1,2,3,2),"")</f>
      </c>
      <c r="H71" s="204"/>
      <c r="I71" s="204"/>
      <c r="J71" s="204">
        <f>IF(DateCalc2&gt;J70,NDow(YEAR(DateCalc2)+1,2,3,2),"")</f>
      </c>
      <c r="K71" s="204"/>
      <c r="L71" s="204"/>
      <c r="M71" s="204">
        <f>IF(DateCalc3&gt;M70,NDow(YEAR(DateCalc3)+1,2,3,2),"")</f>
      </c>
      <c r="N71" s="204"/>
      <c r="O71" s="204"/>
      <c r="P71" s="3"/>
    </row>
    <row r="72" spans="1:16" ht="12.75">
      <c r="A72" s="3"/>
      <c r="B72" s="3" t="s">
        <v>288</v>
      </c>
      <c r="C72" s="3"/>
      <c r="D72" s="10">
        <f ca="1">IF(D71="",D70-TODAY(),D71-TODAY())</f>
        <v>19</v>
      </c>
      <c r="E72" s="10"/>
      <c r="F72" s="10"/>
      <c r="G72" s="10">
        <f>IF(G71="",G70-DateCalc1,G71-DateCalc1)</f>
        <v>19</v>
      </c>
      <c r="H72" s="10"/>
      <c r="I72" s="10"/>
      <c r="J72" s="10">
        <f>IF(J71="",J70-DateCalc2,J71-DateCalc2)</f>
        <v>19</v>
      </c>
      <c r="K72" s="10"/>
      <c r="L72" s="10"/>
      <c r="M72" s="10">
        <f>IF(M71="",M70-DateCalc3,M71-DateCalc3)</f>
        <v>45</v>
      </c>
      <c r="N72" s="10"/>
      <c r="O72" s="10"/>
      <c r="P72" s="3"/>
    </row>
    <row r="73" spans="1:16" ht="12.75">
      <c r="A73" s="3"/>
      <c r="B73" s="3" t="s">
        <v>351</v>
      </c>
      <c r="C73" s="3"/>
      <c r="D73" s="203" t="str">
        <f ca="1">IF(D71="",DATEDIF(TODAY(),D70,"ym")&amp;" months, "&amp;DATEDIF(TODAY(),D70,"md")&amp;" days",DATEDIF(TODAY(),D71,"ym")&amp;" months, "&amp;DATEDIF(TODAY(),D71,"md")&amp;" days")</f>
        <v>0 months, 19 days</v>
      </c>
      <c r="E73" s="203"/>
      <c r="F73" s="10"/>
      <c r="G73" s="205" t="str">
        <f>IF(G71="",DATEDIF(DateCalc1,G70,"ym")&amp;" months, "&amp;DATEDIF(DateCalc1,G70,"md")&amp;" days",DATEDIF(DateCalc1,G71,"ym")&amp;" months, "&amp;DATEDIF(DateCalc1,G71,"md")&amp;" days")</f>
        <v>0 months, 19 days</v>
      </c>
      <c r="H73" s="205"/>
      <c r="I73" s="10"/>
      <c r="J73" s="203" t="str">
        <f>IF(J71="",DATEDIF(DateCalc2,J70,"ym")&amp;" months, "&amp;DATEDIF(DateCalc2,J70,"md")&amp;" days",DATEDIF(DateCalc2,J71,"ym")&amp;" months, "&amp;DATEDIF(DateCalc2,J71,"md")&amp;" days")</f>
        <v>0 months, 19 days</v>
      </c>
      <c r="K73" s="203"/>
      <c r="L73" s="10"/>
      <c r="M73" s="203" t="str">
        <f>IF(M71="",DATEDIF(DateCalc3,M70,"ym")&amp;" months, "&amp;DATEDIF(DateCalc3,M70,"md")&amp;" days",DATEDIF(DateCalc3,M71,"ym")&amp;" months, "&amp;DATEDIF(DateCalc3,M71,"md")&amp;" days")</f>
        <v>1 months, 14 days</v>
      </c>
      <c r="N73" s="203"/>
      <c r="O73" s="10"/>
      <c r="P73" s="3"/>
    </row>
    <row r="74" spans="1:16" ht="12.75">
      <c r="A74" s="3"/>
      <c r="B74" s="3"/>
      <c r="C74" s="3"/>
      <c r="D74" s="3"/>
      <c r="E74" s="3"/>
      <c r="F74" s="3"/>
      <c r="G74" s="3"/>
      <c r="H74" s="3"/>
      <c r="I74" s="3"/>
      <c r="J74" s="3"/>
      <c r="K74" s="3"/>
      <c r="L74" s="3"/>
      <c r="M74" s="3"/>
      <c r="N74" s="3"/>
      <c r="O74" s="3"/>
      <c r="P74" s="3"/>
    </row>
    <row r="75" spans="1:16" ht="15.75">
      <c r="A75" s="101" t="s">
        <v>307</v>
      </c>
      <c r="B75" s="3"/>
      <c r="C75" s="3"/>
      <c r="D75" s="3"/>
      <c r="E75" s="3"/>
      <c r="F75" s="3"/>
      <c r="G75" s="3"/>
      <c r="H75" s="3"/>
      <c r="I75" s="3"/>
      <c r="J75" s="3"/>
      <c r="K75" s="3"/>
      <c r="L75" s="3"/>
      <c r="M75" s="3"/>
      <c r="N75" s="3"/>
      <c r="O75" s="3"/>
      <c r="P75" s="3"/>
    </row>
    <row r="76" spans="1:16" ht="12.75">
      <c r="A76" s="3"/>
      <c r="B76" s="3"/>
      <c r="C76" s="3"/>
      <c r="D76" s="204">
        <f ca="1">DATE(YEAR(TODAY()),3,17)</f>
        <v>40619</v>
      </c>
      <c r="E76" s="204"/>
      <c r="F76" s="204"/>
      <c r="G76" s="204">
        <f>DATE(YEAR(DateCalc1),3,17)</f>
        <v>40619</v>
      </c>
      <c r="H76" s="204"/>
      <c r="I76" s="204"/>
      <c r="J76" s="204">
        <f>DATE(YEAR(DateCalc2),3,17)</f>
        <v>40619</v>
      </c>
      <c r="K76" s="204"/>
      <c r="L76" s="204"/>
      <c r="M76" s="204">
        <f>DATE(YEAR(DateCalc3),3,17)</f>
        <v>42080</v>
      </c>
      <c r="N76" s="204"/>
      <c r="O76" s="204"/>
      <c r="P76" s="3"/>
    </row>
    <row r="77" spans="1:16" ht="12.75">
      <c r="A77" s="3"/>
      <c r="B77" s="3" t="s">
        <v>293</v>
      </c>
      <c r="C77" s="3"/>
      <c r="D77" s="204">
        <f ca="1">IF(TODAY()&gt;D76,DATE(YEAR(TODAY())+1,3,17),"")</f>
      </c>
      <c r="E77" s="204"/>
      <c r="F77" s="204"/>
      <c r="G77" s="204">
        <f>IF(DateCalc1&gt;G76,DATE(YEAR(DateCalc1)+1,3,17),"")</f>
      </c>
      <c r="H77" s="204"/>
      <c r="I77" s="204"/>
      <c r="J77" s="204">
        <f>IF(DateCalc2&gt;J76,DATE(YEAR(DateCalc2)+1,3,17),"")</f>
      </c>
      <c r="K77" s="204"/>
      <c r="L77" s="204"/>
      <c r="M77" s="204">
        <f>IF(DateCalc3&gt;M76,DATE(YEAR(DateCalc3)+1,3,17),"")</f>
      </c>
      <c r="N77" s="204"/>
      <c r="O77" s="204"/>
      <c r="P77" s="3"/>
    </row>
    <row r="78" spans="1:16" ht="12.75">
      <c r="A78" s="3"/>
      <c r="B78" s="3" t="s">
        <v>288</v>
      </c>
      <c r="C78" s="3"/>
      <c r="D78" s="10">
        <f ca="1">IF(D77="",D76-TODAY(),D77-TODAY())</f>
        <v>43</v>
      </c>
      <c r="E78" s="10"/>
      <c r="F78" s="10"/>
      <c r="G78" s="10">
        <f>IF(G77="",G76-DateCalc1,G77-DateCalc1)</f>
        <v>43</v>
      </c>
      <c r="H78" s="10"/>
      <c r="I78" s="10"/>
      <c r="J78" s="10">
        <f>IF(J77="",J76-DateCalc2,J77-DateCalc2)</f>
        <v>43</v>
      </c>
      <c r="K78" s="10"/>
      <c r="L78" s="10"/>
      <c r="M78" s="10">
        <f>IF(M77="",M76-DateCalc3,M77-DateCalc3)</f>
        <v>74</v>
      </c>
      <c r="N78" s="10"/>
      <c r="O78" s="10"/>
      <c r="P78" s="3"/>
    </row>
    <row r="79" spans="1:16" ht="12.75">
      <c r="A79" s="3"/>
      <c r="B79" s="3" t="s">
        <v>351</v>
      </c>
      <c r="C79" s="3"/>
      <c r="D79" s="203" t="str">
        <f ca="1">IF(D77="",DATEDIF(TODAY(),D76,"ym")&amp;" months, "&amp;DATEDIF(TODAY(),D76,"md")&amp;" days",DATEDIF(TODAY(),D77,"ym")&amp;" months, "&amp;DATEDIF(TODAY(),D77,"md")&amp;" days")</f>
        <v>1 months, 15 days</v>
      </c>
      <c r="E79" s="203"/>
      <c r="F79" s="10"/>
      <c r="G79" s="203" t="str">
        <f>IF(G77="",DATEDIF(DateCalc1,G76,"ym")&amp;" months, "&amp;DATEDIF(DateCalc1,G76,"md")&amp;" days",DATEDIF(DateCalc1,G77,"ym")&amp;" months, "&amp;DATEDIF(DateCalc1,G77,"md")&amp;" days")</f>
        <v>1 months, 15 days</v>
      </c>
      <c r="H79" s="203"/>
      <c r="I79" s="10"/>
      <c r="J79" s="98" t="str">
        <f>IF(J77="",DATEDIF(DateCalc2,J76,"ym")&amp;" months, "&amp;DATEDIF(DateCalc2,J76,"md")&amp;" days",DATEDIF(DateCalc2,J77,"ym")&amp;" months, "&amp;DATEDIF(DateCalc2,J77,"md")&amp;" days")</f>
        <v>1 months, 15 days</v>
      </c>
      <c r="K79" s="98"/>
      <c r="L79" s="10"/>
      <c r="M79" s="98" t="str">
        <f>IF(M77="",DATEDIF(DateCalc3,M76,"ym")&amp;" months, "&amp;DATEDIF(DateCalc3,M76,"md")&amp;" days",DATEDIF(DateCalc3,M77,"ym")&amp;" months, "&amp;DATEDIF(DateCalc3,M77,"md")&amp;" days")</f>
        <v>2 months, 15 days</v>
      </c>
      <c r="N79" s="98"/>
      <c r="O79" s="10"/>
      <c r="P79" s="3"/>
    </row>
    <row r="80" spans="1:16" ht="12.75">
      <c r="A80" s="3"/>
      <c r="B80" s="3"/>
      <c r="C80" s="3"/>
      <c r="D80" s="3"/>
      <c r="E80" s="3"/>
      <c r="F80" s="3"/>
      <c r="G80" s="3"/>
      <c r="H80" s="3"/>
      <c r="I80" s="3"/>
      <c r="J80" s="3"/>
      <c r="K80" s="3"/>
      <c r="L80" s="3"/>
      <c r="M80" s="3"/>
      <c r="N80" s="3"/>
      <c r="O80" s="3"/>
      <c r="P80" s="3"/>
    </row>
    <row r="81" spans="1:16" ht="15.75">
      <c r="A81" s="101" t="s">
        <v>308</v>
      </c>
      <c r="B81" s="3"/>
      <c r="C81" s="3"/>
      <c r="D81" s="3"/>
      <c r="E81" s="3"/>
      <c r="F81" s="3"/>
      <c r="G81" s="3"/>
      <c r="H81" s="3"/>
      <c r="I81" s="3"/>
      <c r="J81" s="3"/>
      <c r="K81" s="3"/>
      <c r="L81" s="3"/>
      <c r="M81" s="3"/>
      <c r="N81" s="3"/>
      <c r="O81" s="3"/>
      <c r="P81" s="3"/>
    </row>
    <row r="82" spans="1:16" ht="12.75">
      <c r="A82" s="3"/>
      <c r="B82" s="3"/>
      <c r="C82" s="3"/>
      <c r="D82" s="204">
        <f ca="1">DATE(YEAR(TODAY()),4,1)</f>
        <v>40634</v>
      </c>
      <c r="E82" s="204"/>
      <c r="F82" s="204"/>
      <c r="G82" s="204">
        <f>DATE(YEAR(DateCalc1),4,1)</f>
        <v>40634</v>
      </c>
      <c r="H82" s="204"/>
      <c r="I82" s="204"/>
      <c r="J82" s="204">
        <f>DATE(YEAR(DateCalc2),4,1)</f>
        <v>40634</v>
      </c>
      <c r="K82" s="204"/>
      <c r="L82" s="204"/>
      <c r="M82" s="204">
        <f>DATE(YEAR(DateCalc3),4,1)</f>
        <v>42095</v>
      </c>
      <c r="N82" s="204"/>
      <c r="O82" s="204"/>
      <c r="P82" s="3"/>
    </row>
    <row r="83" spans="1:16" ht="12.75">
      <c r="A83" s="3"/>
      <c r="B83" s="3" t="s">
        <v>293</v>
      </c>
      <c r="C83" s="3"/>
      <c r="D83" s="204">
        <f ca="1">IF(TODAY()&gt;D82,DATE(YEAR(TODAY())+1,4,1),"")</f>
      </c>
      <c r="E83" s="204"/>
      <c r="F83" s="204"/>
      <c r="G83" s="204">
        <f>IF(DateCalc1&gt;G82,DATE(YEAR(DateCalc1)+1,4,1),"")</f>
      </c>
      <c r="H83" s="204"/>
      <c r="I83" s="204"/>
      <c r="J83" s="204">
        <f>IF(DateCalc2&gt;J82,DATE(YEAR(DateCalc2)+1,4,1),"")</f>
      </c>
      <c r="K83" s="204"/>
      <c r="L83" s="204"/>
      <c r="M83" s="204">
        <f>IF(DateCalc3&gt;M82,DATE(YEAR(DateCalc3)+1,4,1),"")</f>
      </c>
      <c r="N83" s="204"/>
      <c r="O83" s="204"/>
      <c r="P83" s="3"/>
    </row>
    <row r="84" spans="1:16" ht="12.75">
      <c r="A84" s="3"/>
      <c r="B84" s="3" t="s">
        <v>288</v>
      </c>
      <c r="C84" s="3"/>
      <c r="D84" s="10">
        <f ca="1">IF(D83="",D82-TODAY(),D83-TODAY())</f>
        <v>58</v>
      </c>
      <c r="E84" s="10"/>
      <c r="F84" s="10"/>
      <c r="G84" s="10">
        <f>IF(G83="",G82-DateCalc1,G83-DateCalc1)</f>
        <v>58</v>
      </c>
      <c r="H84" s="10"/>
      <c r="I84" s="10"/>
      <c r="J84" s="10">
        <f>IF(J83="",J82-DateCalc2,J83-DateCalc2)</f>
        <v>58</v>
      </c>
      <c r="K84" s="10"/>
      <c r="L84" s="10"/>
      <c r="M84" s="10">
        <f>IF(M83="",M82-DateCalc3,M83-DateCalc3)</f>
        <v>89</v>
      </c>
      <c r="N84" s="10"/>
      <c r="O84" s="10"/>
      <c r="P84" s="3"/>
    </row>
    <row r="85" spans="1:16" ht="12.75">
      <c r="A85" s="3"/>
      <c r="B85" s="3" t="s">
        <v>351</v>
      </c>
      <c r="C85" s="3"/>
      <c r="D85" s="203" t="str">
        <f ca="1">IF(D83="",DATEDIF(TODAY(),D82,"ym")&amp;" months, "&amp;DATEDIF(TODAY(),D82,"md")&amp;" days",DATEDIF(TODAY(),D83,"ym")&amp;" months, "&amp;DATEDIF(TODAY(),D83,"md")&amp;" days")</f>
        <v>1 months, 30 days</v>
      </c>
      <c r="E85" s="203"/>
      <c r="F85" s="10"/>
      <c r="G85" s="203" t="str">
        <f>IF(G83="",DATEDIF(DateCalc1,G82,"ym")&amp;" months, "&amp;DATEDIF(DateCalc1,G82,"md")&amp;" days",DATEDIF(DateCalc1,G83,"ym")&amp;" months, "&amp;DATEDIF(DateCalc1,G83,"md")&amp;" days")</f>
        <v>1 months, 30 days</v>
      </c>
      <c r="H85" s="203"/>
      <c r="I85" s="10"/>
      <c r="J85" s="98" t="str">
        <f>IF(J83="",DATEDIF(DateCalc2,J82,"ym")&amp;" months, "&amp;DATEDIF(DateCalc2,J82,"md")&amp;" days",DATEDIF(DateCalc2,J83,"ym")&amp;" months, "&amp;DATEDIF(DateCalc2,J83,"md")&amp;" days")</f>
        <v>1 months, 30 days</v>
      </c>
      <c r="K85" s="98"/>
      <c r="L85" s="10"/>
      <c r="M85" s="98" t="str">
        <f>IF(M83="",DATEDIF(DateCalc3,M82,"ym")&amp;" months, "&amp;DATEDIF(DateCalc3,M82,"md")&amp;" days",DATEDIF(DateCalc3,M83,"ym")&amp;" months, "&amp;DATEDIF(DateCalc3,M83,"md")&amp;" days")</f>
        <v>2 months, 30 days</v>
      </c>
      <c r="N85" s="98"/>
      <c r="O85" s="10"/>
      <c r="P85" s="3"/>
    </row>
    <row r="86" spans="1:16" ht="12.75">
      <c r="A86" s="3"/>
      <c r="B86" s="3"/>
      <c r="C86" s="3"/>
      <c r="D86" s="3"/>
      <c r="E86" s="3"/>
      <c r="F86" s="3"/>
      <c r="G86" s="3"/>
      <c r="H86" s="3"/>
      <c r="I86" s="3"/>
      <c r="J86" s="3"/>
      <c r="K86" s="3"/>
      <c r="L86" s="3"/>
      <c r="M86" s="3"/>
      <c r="N86" s="3"/>
      <c r="O86" s="3"/>
      <c r="P86" s="3"/>
    </row>
    <row r="87" spans="1:16" ht="15.75">
      <c r="A87" s="101" t="s">
        <v>295</v>
      </c>
      <c r="B87" s="3"/>
      <c r="C87" s="3"/>
      <c r="D87" s="3"/>
      <c r="E87" s="3"/>
      <c r="F87" s="3"/>
      <c r="G87" s="3"/>
      <c r="H87" s="3"/>
      <c r="I87" s="3"/>
      <c r="J87" s="3"/>
      <c r="K87" s="3"/>
      <c r="L87" s="3"/>
      <c r="M87" s="3"/>
      <c r="N87" s="3"/>
      <c r="O87" s="3"/>
      <c r="P87" s="3"/>
    </row>
    <row r="88" spans="1:16" ht="12.75">
      <c r="A88" s="3"/>
      <c r="B88" s="3"/>
      <c r="C88" s="3"/>
      <c r="D88" s="204">
        <f ca="1">EasterDate(YEAR(TODAY()))</f>
        <v>40657</v>
      </c>
      <c r="E88" s="204"/>
      <c r="F88" s="204"/>
      <c r="G88" s="204">
        <f>EasterDate(YEAR(DateCalc1))</f>
        <v>40657</v>
      </c>
      <c r="H88" s="204"/>
      <c r="I88" s="204"/>
      <c r="J88" s="204">
        <f>EasterDate(YEAR(DateCalc2))</f>
        <v>40657</v>
      </c>
      <c r="K88" s="204"/>
      <c r="L88" s="204"/>
      <c r="M88" s="204">
        <f>EasterDate(YEAR(DateCalc3))</f>
        <v>42099</v>
      </c>
      <c r="N88" s="204"/>
      <c r="O88" s="204"/>
      <c r="P88" s="3"/>
    </row>
    <row r="89" spans="1:16" ht="12.75">
      <c r="A89" s="3"/>
      <c r="B89" s="3" t="s">
        <v>293</v>
      </c>
      <c r="C89" s="3"/>
      <c r="D89" s="204">
        <f ca="1">IF(TODAY()&gt;D88,EasterDate(YEAR(TODAY())+1),"")</f>
      </c>
      <c r="E89" s="204"/>
      <c r="F89" s="204"/>
      <c r="G89" s="204">
        <f ca="1">IF(TODAY()&gt;G88,EasterDate(YEAR(DateCalc1)+1),"")</f>
      </c>
      <c r="H89" s="204"/>
      <c r="I89" s="204"/>
      <c r="J89" s="204">
        <f ca="1">IF(TODAY()&gt;J88,EasterDate(YEAR(DateCalc2)+1),"")</f>
      </c>
      <c r="K89" s="204"/>
      <c r="L89" s="204"/>
      <c r="M89" s="204">
        <f ca="1">IF(TODAY()&gt;M88,EasterDate(YEAR(DateCalc3)+1),"")</f>
      </c>
      <c r="N89" s="204"/>
      <c r="O89" s="204"/>
      <c r="P89" s="3"/>
    </row>
    <row r="90" spans="1:16" ht="12.75">
      <c r="A90" s="3"/>
      <c r="B90" s="3" t="s">
        <v>288</v>
      </c>
      <c r="C90" s="3"/>
      <c r="D90" s="10">
        <f ca="1">IF(D89="",D88-TODAY(),D89-TODAY())</f>
        <v>81</v>
      </c>
      <c r="E90" s="10"/>
      <c r="F90" s="10"/>
      <c r="G90" s="10">
        <f>IF(G89="",G88-DateCalc1,G89-DateCalc1)</f>
        <v>81</v>
      </c>
      <c r="H90" s="10"/>
      <c r="I90" s="10"/>
      <c r="J90" s="10">
        <f>IF(J89="",J88-DateCalc2,J89-DateCalc2)</f>
        <v>81</v>
      </c>
      <c r="K90" s="10"/>
      <c r="L90" s="10"/>
      <c r="M90" s="10">
        <f>IF(M89="",M88-DateCalc3,M89-DateCalc3)</f>
        <v>93</v>
      </c>
      <c r="N90" s="10"/>
      <c r="O90" s="10"/>
      <c r="P90" s="3"/>
    </row>
    <row r="91" spans="1:16" ht="12.75">
      <c r="A91" s="3"/>
      <c r="B91" s="3" t="s">
        <v>351</v>
      </c>
      <c r="C91" s="3"/>
      <c r="D91" s="203" t="str">
        <f ca="1">IF(D89="",DATEDIF(TODAY(),D88,"ym")&amp;" months, "&amp;DATEDIF(TODAY(),D88,"md")&amp;" days",DATEDIF(TODAY(),D89,"ym")&amp;" months, "&amp;DATEDIF(TODAY(),D89,"md")&amp;" days")</f>
        <v>2 months, 22 days</v>
      </c>
      <c r="E91" s="203"/>
      <c r="F91" s="10"/>
      <c r="G91" s="203" t="str">
        <f>IF(G89="",DATEDIF(DateCalc1,G88,"ym")&amp;" months, "&amp;DATEDIF(DateCalc1,G88,"md")&amp;" days",DATEDIF(DateCalc1,G89,"ym")&amp;" months, "&amp;DATEDIF(DateCalc1,G89,"md")&amp;" days")</f>
        <v>2 months, 22 days</v>
      </c>
      <c r="H91" s="203"/>
      <c r="I91" s="10"/>
      <c r="J91" s="98" t="str">
        <f>IF(J89="",DATEDIF(DateCalc2,J88,"ym")&amp;" months, "&amp;DATEDIF(DateCalc2,J88,"md")&amp;" days",DATEDIF(DateCalc2,J89,"ym")&amp;" months, "&amp;DATEDIF(DateCalc2,J89,"md")&amp;" days")</f>
        <v>2 months, 22 days</v>
      </c>
      <c r="K91" s="98"/>
      <c r="L91" s="10"/>
      <c r="M91" s="98" t="str">
        <f>IF(M89="",DATEDIF(DateCalc3,M88,"ym")&amp;" months, "&amp;DATEDIF(DateCalc3,M88,"md")&amp;" days",DATEDIF(DateCalc3,M89,"ym")&amp;" months, "&amp;DATEDIF(DateCalc3,M89,"md")&amp;" days")</f>
        <v>3 months, 3 days</v>
      </c>
      <c r="N91" s="98"/>
      <c r="O91" s="10"/>
      <c r="P91" s="3"/>
    </row>
    <row r="92" spans="1:16" ht="12.75">
      <c r="A92" s="3"/>
      <c r="B92" s="3"/>
      <c r="C92" s="3"/>
      <c r="D92" s="3"/>
      <c r="E92" s="3"/>
      <c r="F92" s="3"/>
      <c r="G92" s="3"/>
      <c r="H92" s="3"/>
      <c r="I92" s="3"/>
      <c r="J92" s="3"/>
      <c r="K92" s="3"/>
      <c r="L92" s="3"/>
      <c r="M92" s="3"/>
      <c r="N92" s="3"/>
      <c r="O92" s="3"/>
      <c r="P92" s="3"/>
    </row>
    <row r="93" spans="1:16" ht="15.75">
      <c r="A93" s="101" t="s">
        <v>310</v>
      </c>
      <c r="B93" s="3"/>
      <c r="C93" s="3"/>
      <c r="D93" s="3"/>
      <c r="E93" s="3"/>
      <c r="F93" s="3"/>
      <c r="G93" s="3"/>
      <c r="H93" s="3"/>
      <c r="I93" s="3"/>
      <c r="J93" s="3"/>
      <c r="K93" s="3"/>
      <c r="L93" s="3"/>
      <c r="M93" s="3"/>
      <c r="N93" s="3"/>
      <c r="O93" s="3"/>
      <c r="P93" s="3"/>
    </row>
    <row r="94" spans="1:16" ht="12.75">
      <c r="A94" s="3"/>
      <c r="B94" s="3"/>
      <c r="C94" s="3"/>
      <c r="D94" s="204">
        <f ca="1">DATE(YEAR(TODAY()),4,23)</f>
        <v>40656</v>
      </c>
      <c r="E94" s="204"/>
      <c r="F94" s="204"/>
      <c r="G94" s="204">
        <f>DATE(YEAR(DateCalc1),4,23)</f>
        <v>40656</v>
      </c>
      <c r="H94" s="204"/>
      <c r="I94" s="204"/>
      <c r="J94" s="204">
        <f>DATE(YEAR(DateCalc2),4,23)</f>
        <v>40656</v>
      </c>
      <c r="K94" s="204"/>
      <c r="L94" s="204"/>
      <c r="M94" s="204">
        <f>DATE(YEAR(DateCalc3),4,23)</f>
        <v>42117</v>
      </c>
      <c r="N94" s="204"/>
      <c r="O94" s="204"/>
      <c r="P94" s="3"/>
    </row>
    <row r="95" spans="1:16" ht="12.75">
      <c r="A95" s="3"/>
      <c r="B95" s="3" t="s">
        <v>293</v>
      </c>
      <c r="C95" s="3"/>
      <c r="D95" s="204">
        <f ca="1">IF(TODAY()&gt;D94,DATE(YEAR(TODAY())+1,4,23),"")</f>
      </c>
      <c r="E95" s="204"/>
      <c r="F95" s="204"/>
      <c r="G95" s="204">
        <f>IF(DateCalc1&gt;G94,DATE(YEAR(DateCalc1)+1,4,23),"")</f>
      </c>
      <c r="H95" s="204"/>
      <c r="I95" s="204"/>
      <c r="J95" s="204">
        <f>IF(DateCalc2&gt;J94,DATE(YEAR(DateCalc2)+1,4,23),"")</f>
      </c>
      <c r="K95" s="204"/>
      <c r="L95" s="204"/>
      <c r="M95" s="204">
        <f>IF(DateCalc3&gt;M94,DATE(YEAR(DateCalc3)+1,4,23),"")</f>
      </c>
      <c r="N95" s="204"/>
      <c r="O95" s="204"/>
      <c r="P95" s="3"/>
    </row>
    <row r="96" spans="1:16" ht="12.75">
      <c r="A96" s="3"/>
      <c r="B96" s="3" t="s">
        <v>288</v>
      </c>
      <c r="C96" s="3"/>
      <c r="D96" s="10">
        <f ca="1">IF(D95="",D94-TODAY(),D95-TODAY())</f>
        <v>80</v>
      </c>
      <c r="E96" s="10"/>
      <c r="F96" s="10"/>
      <c r="G96" s="10">
        <f>IF(G95="",G94-DateCalc1,G95-DateCalc1)</f>
        <v>80</v>
      </c>
      <c r="H96" s="10"/>
      <c r="I96" s="10"/>
      <c r="J96" s="10">
        <f>IF(J95="",J94-DateCalc2,J95-DateCalc2)</f>
        <v>80</v>
      </c>
      <c r="K96" s="10"/>
      <c r="L96" s="10"/>
      <c r="M96" s="10">
        <f>IF(M95="",M94-DateCalc3,M95-DateCalc3)</f>
        <v>111</v>
      </c>
      <c r="N96" s="10"/>
      <c r="O96" s="10"/>
      <c r="P96" s="3"/>
    </row>
    <row r="97" spans="1:16" ht="12.75">
      <c r="A97" s="3"/>
      <c r="B97" s="3" t="s">
        <v>351</v>
      </c>
      <c r="C97" s="3"/>
      <c r="D97" s="203" t="str">
        <f ca="1">IF(D95="",DATEDIF(TODAY(),D94,"ym")&amp;" months, "&amp;DATEDIF(TODAY(),D94,"md")&amp;" days",DATEDIF(TODAY(),D95,"ym")&amp;" months, "&amp;DATEDIF(TODAY(),D95,"md")&amp;" days")</f>
        <v>2 months, 21 days</v>
      </c>
      <c r="E97" s="203"/>
      <c r="F97" s="10"/>
      <c r="G97" s="203" t="str">
        <f>IF(G95="",DATEDIF(DateCalc1,G94,"ym")&amp;" months, "&amp;DATEDIF(DateCalc1,G94,"md")&amp;" days",DATEDIF(DateCalc1,G95,"ym")&amp;" months, "&amp;DATEDIF(DateCalc1,G95,"md")&amp;" days")</f>
        <v>2 months, 21 days</v>
      </c>
      <c r="H97" s="203"/>
      <c r="I97" s="10"/>
      <c r="J97" s="98" t="str">
        <f>IF(J95="",DATEDIF(DateCalc2,J94,"ym")&amp;" months, "&amp;DATEDIF(DateCalc2,J94,"md")&amp;" days",DATEDIF(DateCalc2,J95,"ym")&amp;" months, "&amp;DATEDIF(DateCalc2,J95,"md")&amp;" days")</f>
        <v>2 months, 21 days</v>
      </c>
      <c r="K97" s="98"/>
      <c r="L97" s="10"/>
      <c r="M97" s="98" t="str">
        <f>IF(M95="",DATEDIF(DateCalc3,M94,"ym")&amp;" months, "&amp;DATEDIF(DateCalc3,M94,"md")&amp;" days",DATEDIF(DateCalc3,M95,"ym")&amp;" months, "&amp;DATEDIF(DateCalc3,M95,"md")&amp;" days")</f>
        <v>3 months, 21 days</v>
      </c>
      <c r="N97" s="98"/>
      <c r="O97" s="10"/>
      <c r="P97" s="3"/>
    </row>
    <row r="98" spans="1:16" ht="12.75">
      <c r="A98" s="3"/>
      <c r="B98" s="3"/>
      <c r="C98" s="3"/>
      <c r="D98" s="3"/>
      <c r="E98" s="3"/>
      <c r="F98" s="3"/>
      <c r="G98" s="3"/>
      <c r="H98" s="3"/>
      <c r="I98" s="3"/>
      <c r="J98" s="3"/>
      <c r="K98" s="3"/>
      <c r="L98" s="3"/>
      <c r="M98" s="3"/>
      <c r="N98" s="3"/>
      <c r="O98" s="3"/>
      <c r="P98" s="3"/>
    </row>
    <row r="99" spans="1:16" ht="15.75">
      <c r="A99" s="101" t="s">
        <v>289</v>
      </c>
      <c r="B99" s="3"/>
      <c r="C99" s="3"/>
      <c r="D99" s="3"/>
      <c r="E99" s="3"/>
      <c r="F99" s="3"/>
      <c r="G99" s="3"/>
      <c r="H99" s="3"/>
      <c r="I99" s="3"/>
      <c r="J99" s="3"/>
      <c r="K99" s="3"/>
      <c r="L99" s="3"/>
      <c r="M99" s="3"/>
      <c r="N99" s="3"/>
      <c r="O99" s="3"/>
      <c r="P99" s="3"/>
    </row>
    <row r="100" spans="1:16" ht="12.75">
      <c r="A100" s="3"/>
      <c r="B100" s="3"/>
      <c r="C100" s="3"/>
      <c r="D100" s="206">
        <f ca="1">NDow(YEAR(TODAY()),5,1,2)</f>
        <v>40665</v>
      </c>
      <c r="E100" s="206"/>
      <c r="F100" s="206"/>
      <c r="G100" s="206">
        <f>NDow(YEAR(DateCalc1),5,1,2)</f>
        <v>40665</v>
      </c>
      <c r="H100" s="206"/>
      <c r="I100" s="206"/>
      <c r="J100" s="206">
        <f>NDow(YEAR(DateCalc2),5,1,2)</f>
        <v>40665</v>
      </c>
      <c r="K100" s="206"/>
      <c r="L100" s="206"/>
      <c r="M100" s="206">
        <f>NDow(YEAR(DateCalc3),5,1,2)</f>
        <v>42128</v>
      </c>
      <c r="N100" s="206"/>
      <c r="O100" s="206"/>
      <c r="P100" s="3"/>
    </row>
    <row r="101" spans="1:16" ht="12.75">
      <c r="A101" s="3"/>
      <c r="B101" s="3" t="s">
        <v>293</v>
      </c>
      <c r="C101" s="3"/>
      <c r="D101" s="204">
        <f ca="1">IF(TODAY()&gt;D100,NDow(YEAR(TODAY())+1,5,1,2),"")</f>
      </c>
      <c r="E101" s="204"/>
      <c r="F101" s="204"/>
      <c r="G101" s="204">
        <f>IF(DateCalc1&gt;G100,NDow(YEAR(DateCalc1)+1,5,1,2),"")</f>
      </c>
      <c r="H101" s="204"/>
      <c r="I101" s="204"/>
      <c r="J101" s="204">
        <f>IF(DateCalc2&gt;J100,NDow(YEAR(DateCalc2)+1,5,1,2),"")</f>
      </c>
      <c r="K101" s="204"/>
      <c r="L101" s="204"/>
      <c r="M101" s="204">
        <f>IF(DateCalc3&gt;M100,NDow(YEAR(DateCalc3)+1,5,1,2),"")</f>
      </c>
      <c r="N101" s="204"/>
      <c r="O101" s="204"/>
      <c r="P101" s="3"/>
    </row>
    <row r="102" spans="1:16" ht="12.75">
      <c r="A102" s="3"/>
      <c r="B102" s="3" t="s">
        <v>288</v>
      </c>
      <c r="C102" s="3"/>
      <c r="D102" s="10">
        <f ca="1">IF(D101="",D100-TODAY(),D101-TODAY())</f>
        <v>89</v>
      </c>
      <c r="E102" s="10"/>
      <c r="F102" s="10"/>
      <c r="G102" s="10">
        <f>IF(G101="",G100-DateCalc1,G101-DateCalc1)</f>
        <v>89</v>
      </c>
      <c r="H102" s="10"/>
      <c r="I102" s="10"/>
      <c r="J102" s="10">
        <f>IF(J101="",J100-DateCalc2,J101-DateCalc2)</f>
        <v>89</v>
      </c>
      <c r="K102" s="10"/>
      <c r="L102" s="10"/>
      <c r="M102" s="10">
        <f>IF(M101="",M100-DateCalc3,M101-DateCalc3)</f>
        <v>122</v>
      </c>
      <c r="N102" s="10"/>
      <c r="O102" s="10"/>
      <c r="P102" s="3"/>
    </row>
    <row r="103" spans="1:16" ht="12.75">
      <c r="A103" s="3"/>
      <c r="B103" s="3" t="s">
        <v>351</v>
      </c>
      <c r="C103" s="3"/>
      <c r="D103" s="203" t="str">
        <f ca="1">IF(D101="",DATEDIF(TODAY(),D100,"ym")&amp;" months, "&amp;DATEDIF(TODAY(),D100,"md")&amp;" days",DATEDIF(TODAY(),D101,"ym")&amp;" months, "&amp;DATEDIF(TODAY(),D101,"md")&amp;" days")</f>
        <v>3 months, 0 days</v>
      </c>
      <c r="E103" s="203"/>
      <c r="F103" s="10"/>
      <c r="G103" s="205" t="str">
        <f>IF(G101="",DATEDIF(DateCalc1,G100,"ym")&amp;" months, "&amp;DATEDIF(DateCalc1,G100,"md")&amp;" days",DATEDIF(DateCalc1,G101,"ym")&amp;" months, "&amp;DATEDIF(DateCalc1,G101,"md")&amp;" days")</f>
        <v>3 months, 0 days</v>
      </c>
      <c r="H103" s="205"/>
      <c r="I103" s="10"/>
      <c r="J103" s="203" t="str">
        <f>IF(J101="",DATEDIF(DateCalc2,J100,"ym")&amp;" months, "&amp;DATEDIF(DateCalc2,J100,"md")&amp;" days",DATEDIF(DateCalc2,J101,"ym")&amp;" months, "&amp;DATEDIF(DateCalc2,J101,"md")&amp;" days")</f>
        <v>3 months, 0 days</v>
      </c>
      <c r="K103" s="203"/>
      <c r="L103" s="10"/>
      <c r="M103" s="203" t="str">
        <f>IF(M101="",DATEDIF(DateCalc3,M100,"ym")&amp;" months, "&amp;DATEDIF(DateCalc3,M100,"md")&amp;" days",DATEDIF(DateCalc3,M101,"ym")&amp;" months, "&amp;DATEDIF(DateCalc3,M101,"md")&amp;" days")</f>
        <v>4 months, 2 days</v>
      </c>
      <c r="N103" s="203"/>
      <c r="O103" s="10"/>
      <c r="P103" s="3"/>
    </row>
    <row r="104" spans="1:16" ht="12.75">
      <c r="A104" s="3"/>
      <c r="B104" s="3"/>
      <c r="C104" s="3"/>
      <c r="D104" s="3"/>
      <c r="E104" s="3"/>
      <c r="F104" s="3"/>
      <c r="G104" s="3"/>
      <c r="H104" s="3"/>
      <c r="I104" s="3"/>
      <c r="J104" s="3"/>
      <c r="K104" s="3"/>
      <c r="L104" s="3"/>
      <c r="M104" s="3"/>
      <c r="N104" s="3"/>
      <c r="O104" s="3"/>
      <c r="P104" s="3"/>
    </row>
    <row r="105" spans="1:16" ht="15.75">
      <c r="A105" s="101" t="s">
        <v>300</v>
      </c>
      <c r="B105" s="3"/>
      <c r="C105" s="3"/>
      <c r="D105" s="3"/>
      <c r="E105" s="3"/>
      <c r="F105" s="3"/>
      <c r="G105" s="3"/>
      <c r="H105" s="3"/>
      <c r="I105" s="3"/>
      <c r="J105" s="3"/>
      <c r="K105" s="3"/>
      <c r="L105" s="3"/>
      <c r="M105" s="3"/>
      <c r="N105" s="3"/>
      <c r="O105" s="3"/>
      <c r="P105" s="3"/>
    </row>
    <row r="106" spans="1:16" ht="12.75">
      <c r="A106" s="3"/>
      <c r="B106" s="3"/>
      <c r="C106" s="3"/>
      <c r="D106" s="206">
        <f ca="1">NDow(YEAR(TODAY()),5,DowsInMonth(YEAR(TODAY()),5,2),2)</f>
        <v>40658</v>
      </c>
      <c r="E106" s="206"/>
      <c r="F106" s="206"/>
      <c r="G106" s="206">
        <f>NDow(YEAR(DateCalc1),5,DowsInMonth(YEAR(DateCalc1),5,2),2)</f>
        <v>40658</v>
      </c>
      <c r="H106" s="206"/>
      <c r="I106" s="206"/>
      <c r="J106" s="206">
        <f>NDow(YEAR(DateCalc2),5,DowsInMonth(YEAR(DateCalc2),5,2),2)</f>
        <v>40658</v>
      </c>
      <c r="K106" s="206"/>
      <c r="L106" s="206"/>
      <c r="M106" s="206">
        <f>NDow(YEAR(DateCalc3),5,DowsInMonth(YEAR(DateCalc3),5,2),2)</f>
        <v>42121</v>
      </c>
      <c r="N106" s="206"/>
      <c r="O106" s="206"/>
      <c r="P106" s="3"/>
    </row>
    <row r="107" spans="1:16" ht="12.75">
      <c r="A107" s="3"/>
      <c r="B107" s="3" t="s">
        <v>293</v>
      </c>
      <c r="C107" s="3"/>
      <c r="D107" s="204">
        <f ca="1">IF(TODAY()&gt;D106,NDow(YEAR(TODAY())+1,5,DowsInMonth(YEAR(TODAY())+1,5,2),2),"")</f>
      </c>
      <c r="E107" s="204"/>
      <c r="F107" s="204"/>
      <c r="G107" s="204">
        <f>IF(DateCalc1&gt;G106,NDow(YEAR(DateCalc1)+1,5,DowsInMonth(YEAR(DateCalc1)+1,5,2),2),"")</f>
      </c>
      <c r="H107" s="204"/>
      <c r="I107" s="204"/>
      <c r="J107" s="204">
        <f>IF(DateCalc2&gt;J106,NDow(YEAR(DateCalc2)+1,5,DowsInMonth(YEAR(DateCalc2)+1,5,2),2),"")</f>
      </c>
      <c r="K107" s="204"/>
      <c r="L107" s="204"/>
      <c r="M107" s="204">
        <f>IF(DateCalc3&gt;M106,NDow(YEAR(DateCalc3)+1,5,DowsInMonth(YEAR(DateCalc3)+1,5,2),2),"")</f>
      </c>
      <c r="N107" s="204"/>
      <c r="O107" s="204"/>
      <c r="P107" s="3"/>
    </row>
    <row r="108" spans="1:16" ht="12.75">
      <c r="A108" s="3"/>
      <c r="B108" s="3" t="s">
        <v>288</v>
      </c>
      <c r="C108" s="3"/>
      <c r="D108" s="10">
        <f ca="1">IF(D107="",D106-TODAY(),D107-TODAY())</f>
        <v>82</v>
      </c>
      <c r="E108" s="10"/>
      <c r="F108" s="10"/>
      <c r="G108" s="10">
        <f>IF(G107="",G106-DateCalc1,G107-DateCalc1)</f>
        <v>82</v>
      </c>
      <c r="H108" s="10"/>
      <c r="I108" s="10"/>
      <c r="J108" s="10">
        <f>IF(J107="",J106-DateCalc2,J107-DateCalc2)</f>
        <v>82</v>
      </c>
      <c r="K108" s="10"/>
      <c r="L108" s="10"/>
      <c r="M108" s="10">
        <f>IF(M107="",M106-DateCalc3,M107-DateCalc3)</f>
        <v>115</v>
      </c>
      <c r="N108" s="10"/>
      <c r="O108" s="10"/>
      <c r="P108" s="3"/>
    </row>
    <row r="109" spans="1:16" ht="12.75">
      <c r="A109" s="3"/>
      <c r="B109" s="3" t="s">
        <v>351</v>
      </c>
      <c r="C109" s="3"/>
      <c r="D109" s="203" t="str">
        <f ca="1">IF(D107="",DATEDIF(TODAY(),D106,"ym")&amp;" months, "&amp;DATEDIF(TODAY(),D106,"md")&amp;" days",DATEDIF(TODAY(),D107,"ym")&amp;" months, "&amp;DATEDIF(TODAY(),D107,"md")&amp;" days")</f>
        <v>2 months, 23 days</v>
      </c>
      <c r="E109" s="203"/>
      <c r="F109" s="10"/>
      <c r="G109" s="205" t="str">
        <f>IF(G107="",DATEDIF(DateCalc1,G106,"ym")&amp;" months, "&amp;DATEDIF(DateCalc1,G106,"md")&amp;" days",DATEDIF(DateCalc1,G107,"ym")&amp;" months, "&amp;DATEDIF(DateCalc1,G107,"md")&amp;" days")</f>
        <v>2 months, 23 days</v>
      </c>
      <c r="H109" s="205"/>
      <c r="I109" s="10"/>
      <c r="J109" s="203" t="str">
        <f>IF(J107="",DATEDIF(DateCalc2,J106,"ym")&amp;" months, "&amp;DATEDIF(DateCalc2,J106,"md")&amp;" days",DATEDIF(DateCalc2,J107,"ym")&amp;" months, "&amp;DATEDIF(DateCalc2,J107,"md")&amp;" days")</f>
        <v>2 months, 23 days</v>
      </c>
      <c r="K109" s="203"/>
      <c r="L109" s="10"/>
      <c r="M109" s="203" t="str">
        <f>IF(M107="",DATEDIF(DateCalc3,M106,"ym")&amp;" months, "&amp;DATEDIF(DateCalc3,M106,"md")&amp;" days",DATEDIF(DateCalc3,M107,"ym")&amp;" months, "&amp;DATEDIF(DateCalc3,M107,"md")&amp;" days")</f>
        <v>3 months, 25 days</v>
      </c>
      <c r="N109" s="203"/>
      <c r="O109" s="10"/>
      <c r="P109" s="3"/>
    </row>
    <row r="110" spans="1:16" ht="12.75">
      <c r="A110" s="3"/>
      <c r="B110" s="3"/>
      <c r="C110" s="3"/>
      <c r="D110" s="3"/>
      <c r="E110" s="3"/>
      <c r="F110" s="3"/>
      <c r="G110" s="3"/>
      <c r="H110" s="3"/>
      <c r="I110" s="3"/>
      <c r="J110" s="3"/>
      <c r="K110" s="3"/>
      <c r="L110" s="3"/>
      <c r="M110" s="3"/>
      <c r="N110" s="3"/>
      <c r="O110" s="3"/>
      <c r="P110" s="3"/>
    </row>
    <row r="111" spans="1:16" ht="15.75">
      <c r="A111" s="101" t="s">
        <v>302</v>
      </c>
      <c r="B111" s="3"/>
      <c r="C111" s="3"/>
      <c r="D111" s="3"/>
      <c r="E111" s="3"/>
      <c r="F111" s="3"/>
      <c r="G111" s="3"/>
      <c r="H111" s="3"/>
      <c r="I111" s="3"/>
      <c r="J111" s="3"/>
      <c r="K111" s="3"/>
      <c r="L111" s="3"/>
      <c r="M111" s="3"/>
      <c r="N111" s="3"/>
      <c r="O111" s="3"/>
      <c r="P111" s="3"/>
    </row>
    <row r="112" spans="1:16" ht="12.75">
      <c r="A112" s="3"/>
      <c r="B112" s="3"/>
      <c r="C112" s="3"/>
      <c r="D112" s="204">
        <f ca="1">DATE(YEAR(TODAY()),7,4)</f>
        <v>40728</v>
      </c>
      <c r="E112" s="204"/>
      <c r="F112" s="204"/>
      <c r="G112" s="204">
        <f>DATE(YEAR(DateCalc1),7,4)</f>
        <v>40728</v>
      </c>
      <c r="H112" s="204"/>
      <c r="I112" s="204"/>
      <c r="J112" s="204">
        <f>DATE(YEAR(DateCalc2),7,4)</f>
        <v>40728</v>
      </c>
      <c r="K112" s="204"/>
      <c r="L112" s="204"/>
      <c r="M112" s="204">
        <f>DATE(YEAR(DateCalc3),7,4)</f>
        <v>42189</v>
      </c>
      <c r="N112" s="204"/>
      <c r="O112" s="204"/>
      <c r="P112" s="3"/>
    </row>
    <row r="113" spans="1:16" ht="12.75">
      <c r="A113" s="3"/>
      <c r="B113" s="3" t="s">
        <v>293</v>
      </c>
      <c r="C113" s="3"/>
      <c r="D113" s="204">
        <f ca="1">IF(TODAY()&gt;D112,DATE(YEAR(TODAY())+1,7,4),"")</f>
      </c>
      <c r="E113" s="204"/>
      <c r="F113" s="204"/>
      <c r="G113" s="204">
        <f>IF(DateCalc1&gt;G112,DATE(YEAR(DateCalc1)+1,7,4),"")</f>
      </c>
      <c r="H113" s="204"/>
      <c r="I113" s="204"/>
      <c r="J113" s="204">
        <f>IF(DateCalc2&gt;J112,DATE(YEAR(DateCalc2)+1,7,4),"")</f>
      </c>
      <c r="K113" s="204"/>
      <c r="L113" s="204"/>
      <c r="M113" s="204">
        <f>IF(DateCalc3&gt;M112,DATE(YEAR(DateCalc3)+1,7,4),"")</f>
      </c>
      <c r="N113" s="204"/>
      <c r="O113" s="204"/>
      <c r="P113" s="3"/>
    </row>
    <row r="114" spans="1:16" ht="12.75">
      <c r="A114" s="3"/>
      <c r="B114" s="3" t="s">
        <v>288</v>
      </c>
      <c r="C114" s="3"/>
      <c r="D114" s="10">
        <f ca="1">IF(D113="",D112-TODAY(),D113-TODAY())</f>
        <v>152</v>
      </c>
      <c r="E114" s="10"/>
      <c r="F114" s="10"/>
      <c r="G114" s="10">
        <f>IF(G113="",G112-DateCalc1,G113-DateCalc1)</f>
        <v>152</v>
      </c>
      <c r="H114" s="10"/>
      <c r="I114" s="10"/>
      <c r="J114" s="10">
        <f>IF(J113="",J112-DateCalc2,J113-DateCalc2)</f>
        <v>152</v>
      </c>
      <c r="K114" s="10"/>
      <c r="L114" s="10"/>
      <c r="M114" s="10">
        <f>IF(M113="",M112-DateCalc3,M113-DateCalc3)</f>
        <v>183</v>
      </c>
      <c r="N114" s="10"/>
      <c r="O114" s="10"/>
      <c r="P114" s="3"/>
    </row>
    <row r="115" spans="1:16" ht="12.75">
      <c r="A115" s="3"/>
      <c r="B115" s="3" t="s">
        <v>351</v>
      </c>
      <c r="C115" s="3"/>
      <c r="D115" s="203" t="str">
        <f ca="1">IF(D113="",DATEDIF(TODAY(),D112,"ym")&amp;" months, "&amp;DATEDIF(TODAY(),D112,"md")&amp;" days",DATEDIF(TODAY(),D113,"ym")&amp;" months, "&amp;DATEDIF(TODAY(),D113,"md")&amp;" days")</f>
        <v>5 months, 2 days</v>
      </c>
      <c r="E115" s="203"/>
      <c r="F115" s="10"/>
      <c r="G115" s="203" t="str">
        <f>IF(G113="",DATEDIF(DateCalc1,G112,"ym")&amp;" months, "&amp;DATEDIF(DateCalc1,G112,"md")&amp;" days",DATEDIF(DateCalc1,G113,"ym")&amp;" months, "&amp;DATEDIF(DateCalc1,G113,"md")&amp;" days")</f>
        <v>5 months, 2 days</v>
      </c>
      <c r="H115" s="203"/>
      <c r="I115" s="10"/>
      <c r="J115" s="98" t="str">
        <f>IF(J113="",DATEDIF(DateCalc2,J112,"ym")&amp;" months, "&amp;DATEDIF(DateCalc2,J112,"md")&amp;" days",DATEDIF(DateCalc2,J113,"ym")&amp;" months, "&amp;DATEDIF(DateCalc2,J113,"md")&amp;" days")</f>
        <v>5 months, 2 days</v>
      </c>
      <c r="K115" s="98"/>
      <c r="L115" s="10"/>
      <c r="M115" s="98" t="str">
        <f>IF(M113="",DATEDIF(DateCalc3,M112,"ym")&amp;" months, "&amp;DATEDIF(DateCalc3,M112,"md")&amp;" days",DATEDIF(DateCalc3,M113,"ym")&amp;" months, "&amp;DATEDIF(DateCalc3,M113,"md")&amp;" days")</f>
        <v>6 months, 2 days</v>
      </c>
      <c r="N115" s="98"/>
      <c r="O115" s="10"/>
      <c r="P115" s="3"/>
    </row>
    <row r="116" spans="1:16" ht="12.75">
      <c r="A116" s="3"/>
      <c r="B116" s="3"/>
      <c r="C116" s="3"/>
      <c r="D116" s="3"/>
      <c r="E116" s="3"/>
      <c r="F116" s="3"/>
      <c r="G116" s="3"/>
      <c r="H116" s="3"/>
      <c r="I116" s="3"/>
      <c r="J116" s="3"/>
      <c r="K116" s="3"/>
      <c r="L116" s="3"/>
      <c r="M116" s="3"/>
      <c r="N116" s="3"/>
      <c r="O116" s="3"/>
      <c r="P116" s="3"/>
    </row>
    <row r="117" spans="1:16" ht="15.75">
      <c r="A117" s="101" t="s">
        <v>301</v>
      </c>
      <c r="B117" s="3"/>
      <c r="C117" s="3"/>
      <c r="D117" s="3"/>
      <c r="E117" s="3"/>
      <c r="F117" s="3"/>
      <c r="G117" s="3"/>
      <c r="H117" s="3"/>
      <c r="I117" s="3"/>
      <c r="J117" s="3"/>
      <c r="K117" s="3"/>
      <c r="L117" s="3"/>
      <c r="M117" s="3"/>
      <c r="N117" s="3"/>
      <c r="O117" s="3"/>
      <c r="P117" s="3"/>
    </row>
    <row r="118" spans="1:16" ht="12.75">
      <c r="A118" s="3"/>
      <c r="B118" s="3"/>
      <c r="C118" s="3"/>
      <c r="D118" s="206">
        <f ca="1">NDow(YEAR(TODAY()),8,DowsInMonth(YEAR(TODAY()),8,2),2)</f>
        <v>40749</v>
      </c>
      <c r="E118" s="206"/>
      <c r="F118" s="206"/>
      <c r="G118" s="206">
        <f>NDow(YEAR(DateCalc1),8,DowsInMonth(YEAR(DateCalc1),8,2),2)</f>
        <v>40749</v>
      </c>
      <c r="H118" s="206"/>
      <c r="I118" s="206"/>
      <c r="J118" s="206">
        <f>NDow(YEAR(DateCalc2),8,DowsInMonth(YEAR(DateCalc2),8,2),2)</f>
        <v>40749</v>
      </c>
      <c r="K118" s="206"/>
      <c r="L118" s="206"/>
      <c r="M118" s="206">
        <f>NDow(YEAR(DateCalc3),8,DowsInMonth(YEAR(DateCalc3),8,2),2)</f>
        <v>42212</v>
      </c>
      <c r="N118" s="206"/>
      <c r="O118" s="206"/>
      <c r="P118" s="3"/>
    </row>
    <row r="119" spans="1:16" ht="12.75">
      <c r="A119" s="3"/>
      <c r="B119" s="3" t="s">
        <v>293</v>
      </c>
      <c r="C119" s="3"/>
      <c r="D119" s="204">
        <f ca="1">IF(TODAY()&gt;D118,NDow(YEAR(TODAY())+1,8,DowsInMonth(YEAR(TODAY())+1,8,2),2),"")</f>
      </c>
      <c r="E119" s="204"/>
      <c r="F119" s="204"/>
      <c r="G119" s="204">
        <f>IF(DateCalc1&gt;G118,NDow(YEAR(DateCalc1)+1,8,DowsInMonth(YEAR(DateCalc1)+1,8,2),2),"")</f>
      </c>
      <c r="H119" s="204"/>
      <c r="I119" s="204"/>
      <c r="J119" s="204">
        <f>IF(DateCalc2&gt;J118,NDow(YEAR(DateCalc2)+1,8,DowsInMonth(YEAR(DateCalc2)+1,8,2),2),"")</f>
      </c>
      <c r="K119" s="204"/>
      <c r="L119" s="204"/>
      <c r="M119" s="204">
        <f>IF(DateCalc3&gt;M118,NDow(YEAR(DateCalc3)+1,8,DowsInMonth(YEAR(DateCalc3)+1,8,2),2),"")</f>
      </c>
      <c r="N119" s="204"/>
      <c r="O119" s="204"/>
      <c r="P119" s="3"/>
    </row>
    <row r="120" spans="1:16" ht="12.75">
      <c r="A120" s="3"/>
      <c r="B120" s="3" t="s">
        <v>288</v>
      </c>
      <c r="C120" s="3"/>
      <c r="D120" s="10">
        <f ca="1">IF(D119="",D118-TODAY(),D119-TODAY())</f>
        <v>173</v>
      </c>
      <c r="E120" s="10"/>
      <c r="F120" s="10"/>
      <c r="G120" s="10">
        <f>IF(G119="",G118-DateCalc1,G119-DateCalc1)</f>
        <v>173</v>
      </c>
      <c r="H120" s="10"/>
      <c r="I120" s="10"/>
      <c r="J120" s="10">
        <f>IF(J119="",J118-DateCalc2,J119-DateCalc2)</f>
        <v>173</v>
      </c>
      <c r="K120" s="10"/>
      <c r="L120" s="10"/>
      <c r="M120" s="10">
        <f>IF(M119="",M118-DateCalc3,M119-DateCalc3)</f>
        <v>206</v>
      </c>
      <c r="N120" s="10"/>
      <c r="O120" s="10"/>
      <c r="P120" s="3"/>
    </row>
    <row r="121" spans="1:16" ht="12.75">
      <c r="A121" s="3"/>
      <c r="B121" s="3" t="s">
        <v>285</v>
      </c>
      <c r="C121" s="3"/>
      <c r="D121" s="203" t="str">
        <f ca="1">IF(D119="",DATEDIF(TODAY(),D118,"ym")&amp;" months, "&amp;DATEDIF(TODAY(),D118,"md")&amp;" days",DATEDIF(TODAY(),D119,"ym")&amp;" months, "&amp;DATEDIF(TODAY(),D119,"md")&amp;" days")</f>
        <v>5 months, 23 days</v>
      </c>
      <c r="E121" s="203"/>
      <c r="F121" s="10"/>
      <c r="G121" s="205" t="str">
        <f>IF(G119="",DATEDIF(DateCalc1,G118,"ym")&amp;" months, "&amp;DATEDIF(DateCalc1,G118,"md")&amp;" days",DATEDIF(DateCalc1,G119,"ym")&amp;" months, "&amp;DATEDIF(DateCalc1,G119,"md")&amp;" days")</f>
        <v>5 months, 23 days</v>
      </c>
      <c r="H121" s="205"/>
      <c r="I121" s="10"/>
      <c r="J121" s="203" t="str">
        <f>IF(J119="",DATEDIF(DateCalc2,J118,"ym")&amp;" months, "&amp;DATEDIF(DateCalc2,J118,"md")&amp;" days",DATEDIF(DateCalc2,J119,"ym")&amp;" months, "&amp;DATEDIF(DateCalc2,J119,"md")&amp;" days")</f>
        <v>5 months, 23 days</v>
      </c>
      <c r="K121" s="203"/>
      <c r="L121" s="10"/>
      <c r="M121" s="203" t="str">
        <f>IF(M119="",DATEDIF(DateCalc3,M118,"ym")&amp;" months, "&amp;DATEDIF(DateCalc3,M118,"md")&amp;" days",DATEDIF(DateCalc3,M119,"ym")&amp;" months, "&amp;DATEDIF(DateCalc3,M119,"md")&amp;" days")</f>
        <v>6 months, 25 days</v>
      </c>
      <c r="N121" s="203"/>
      <c r="O121" s="10"/>
      <c r="P121" s="3"/>
    </row>
    <row r="122" spans="1:16" ht="12.75">
      <c r="A122" s="3"/>
      <c r="B122" s="3"/>
      <c r="C122" s="3"/>
      <c r="D122" s="3"/>
      <c r="E122" s="3"/>
      <c r="F122" s="3"/>
      <c r="G122" s="3"/>
      <c r="H122" s="3"/>
      <c r="I122" s="3"/>
      <c r="J122" s="3"/>
      <c r="K122" s="3"/>
      <c r="L122" s="3"/>
      <c r="M122" s="3"/>
      <c r="N122" s="3"/>
      <c r="O122" s="3"/>
      <c r="P122" s="3"/>
    </row>
    <row r="123" spans="1:16" ht="15.75">
      <c r="A123" s="101" t="s">
        <v>303</v>
      </c>
      <c r="B123" s="3"/>
      <c r="C123" s="3"/>
      <c r="D123" s="3"/>
      <c r="E123" s="3"/>
      <c r="F123" s="3"/>
      <c r="G123" s="3"/>
      <c r="H123" s="3"/>
      <c r="I123" s="3"/>
      <c r="J123" s="3"/>
      <c r="K123" s="3"/>
      <c r="L123" s="3"/>
      <c r="M123" s="3"/>
      <c r="N123" s="3"/>
      <c r="O123" s="3"/>
      <c r="P123" s="3"/>
    </row>
    <row r="124" spans="1:16" ht="12.75">
      <c r="A124" s="3"/>
      <c r="B124" s="3"/>
      <c r="C124" s="3"/>
      <c r="D124" s="206">
        <f ca="1">NDow(YEAR(TODAY()),9,1,2)</f>
        <v>40791</v>
      </c>
      <c r="E124" s="206"/>
      <c r="F124" s="206"/>
      <c r="G124" s="206">
        <f>NDow(YEAR(DateCalc1),9,1,2)</f>
        <v>40791</v>
      </c>
      <c r="H124" s="206"/>
      <c r="I124" s="206"/>
      <c r="J124" s="206">
        <f>NDow(YEAR(DateCalc2),9,1,2)</f>
        <v>40791</v>
      </c>
      <c r="K124" s="206"/>
      <c r="L124" s="206"/>
      <c r="M124" s="206">
        <f>NDow(YEAR(DateCalc3),9,1,2)</f>
        <v>42254</v>
      </c>
      <c r="N124" s="206"/>
      <c r="O124" s="206"/>
      <c r="P124" s="3"/>
    </row>
    <row r="125" spans="1:16" ht="12.75">
      <c r="A125" s="3"/>
      <c r="B125" s="3" t="s">
        <v>293</v>
      </c>
      <c r="C125" s="3"/>
      <c r="D125" s="204">
        <f ca="1">IF(TODAY()&gt;D124,NDow(YEAR(TODAY())+1,9,1,2),"")</f>
      </c>
      <c r="E125" s="204"/>
      <c r="F125" s="204"/>
      <c r="G125" s="204">
        <f>IF(DateCalc1&gt;G124,NDow(YEAR(DateCalc1)+1,9,1,2),"")</f>
      </c>
      <c r="H125" s="204"/>
      <c r="I125" s="204"/>
      <c r="J125" s="204">
        <f>IF(DateCalc2&gt;J124,NDow(YEAR(DateCalc2)+1,9,1,2),"")</f>
      </c>
      <c r="K125" s="204"/>
      <c r="L125" s="204"/>
      <c r="M125" s="204">
        <f>IF(DateCalc3&gt;M124,NDow(YEAR(DateCalc3)+1,9,1,2),"")</f>
      </c>
      <c r="N125" s="204"/>
      <c r="O125" s="204"/>
      <c r="P125" s="3"/>
    </row>
    <row r="126" spans="1:16" ht="12.75">
      <c r="A126" s="3"/>
      <c r="B126" s="3" t="s">
        <v>288</v>
      </c>
      <c r="C126" s="3"/>
      <c r="D126" s="10">
        <f ca="1">IF(D125="",D124-TODAY(),D125-TODAY())</f>
        <v>215</v>
      </c>
      <c r="E126" s="10"/>
      <c r="F126" s="10"/>
      <c r="G126" s="10">
        <f>IF(G125="",G124-DateCalc1,G125-DateCalc1)</f>
        <v>215</v>
      </c>
      <c r="H126" s="10"/>
      <c r="I126" s="10"/>
      <c r="J126" s="10">
        <f>IF(J125="",J124-DateCalc2,J125-DateCalc2)</f>
        <v>215</v>
      </c>
      <c r="K126" s="10"/>
      <c r="L126" s="10"/>
      <c r="M126" s="10">
        <f>IF(M125="",M124-DateCalc3,M125-DateCalc3)</f>
        <v>248</v>
      </c>
      <c r="N126" s="10"/>
      <c r="O126" s="10"/>
      <c r="P126" s="3"/>
    </row>
    <row r="127" spans="1:16" ht="12.75">
      <c r="A127" s="3"/>
      <c r="B127" s="3" t="s">
        <v>351</v>
      </c>
      <c r="C127" s="3"/>
      <c r="D127" s="203" t="str">
        <f ca="1">IF(D125="",DATEDIF(TODAY(),D124,"ym")&amp;" months, "&amp;DATEDIF(TODAY(),D124,"md")&amp;" days",DATEDIF(TODAY(),D125,"ym")&amp;" months, "&amp;DATEDIF(TODAY(),D125,"md")&amp;" days")</f>
        <v>7 months, 3 days</v>
      </c>
      <c r="E127" s="203"/>
      <c r="F127" s="10"/>
      <c r="G127" s="205" t="str">
        <f>IF(G125="",DATEDIF(DateCalc1,G124,"ym")&amp;" months, "&amp;DATEDIF(DateCalc1,G124,"md")&amp;" days",DATEDIF(DateCalc1,G125,"ym")&amp;" months, "&amp;DATEDIF(DateCalc1,G125,"md")&amp;" days")</f>
        <v>7 months, 3 days</v>
      </c>
      <c r="H127" s="205"/>
      <c r="I127" s="10"/>
      <c r="J127" s="203" t="str">
        <f>IF(J125="",DATEDIF(DateCalc2,J124,"ym")&amp;" months, "&amp;DATEDIF(DateCalc2,J124,"md")&amp;" days",DATEDIF(DateCalc2,J125,"ym")&amp;" months, "&amp;DATEDIF(DateCalc2,J125,"md")&amp;" days")</f>
        <v>7 months, 3 days</v>
      </c>
      <c r="K127" s="203"/>
      <c r="L127" s="10"/>
      <c r="M127" s="203" t="str">
        <f>IF(M125="",DATEDIF(DateCalc3,M124,"ym")&amp;" months, "&amp;DATEDIF(DateCalc3,M124,"md")&amp;" days",DATEDIF(DateCalc3,M125,"ym")&amp;" months, "&amp;DATEDIF(DateCalc3,M125,"md")&amp;" days")</f>
        <v>8 months, 5 days</v>
      </c>
      <c r="N127" s="203"/>
      <c r="O127" s="10"/>
      <c r="P127" s="3"/>
    </row>
    <row r="128" spans="1:16" ht="12.75">
      <c r="A128" s="3"/>
      <c r="B128" s="3"/>
      <c r="C128" s="3"/>
      <c r="D128" s="3"/>
      <c r="E128" s="3"/>
      <c r="F128" s="3"/>
      <c r="G128" s="3"/>
      <c r="H128" s="3"/>
      <c r="I128" s="3"/>
      <c r="J128" s="3"/>
      <c r="K128" s="3"/>
      <c r="L128" s="3"/>
      <c r="M128" s="3"/>
      <c r="N128" s="3"/>
      <c r="O128" s="3"/>
      <c r="P128" s="3"/>
    </row>
    <row r="129" spans="1:16" ht="15.75">
      <c r="A129" s="101" t="s">
        <v>304</v>
      </c>
      <c r="B129" s="3"/>
      <c r="C129" s="3"/>
      <c r="D129" s="3"/>
      <c r="E129" s="3"/>
      <c r="F129" s="3"/>
      <c r="G129" s="3"/>
      <c r="H129" s="3"/>
      <c r="I129" s="3"/>
      <c r="J129" s="3"/>
      <c r="K129" s="3"/>
      <c r="L129" s="3"/>
      <c r="M129" s="3"/>
      <c r="N129" s="3"/>
      <c r="O129" s="3"/>
      <c r="P129" s="3"/>
    </row>
    <row r="130" spans="1:16" ht="12.75">
      <c r="A130" s="3"/>
      <c r="B130" s="3"/>
      <c r="C130" s="3"/>
      <c r="D130" s="206">
        <f ca="1">NDow(YEAR(TODAY()),10,2,2)</f>
        <v>40826</v>
      </c>
      <c r="E130" s="206"/>
      <c r="F130" s="206"/>
      <c r="G130" s="206">
        <f>NDow(YEAR(DateCalc1),10,2,2)</f>
        <v>40826</v>
      </c>
      <c r="H130" s="206"/>
      <c r="I130" s="206"/>
      <c r="J130" s="206">
        <f>NDow(YEAR(DateCalc2),10,2,2)</f>
        <v>40826</v>
      </c>
      <c r="K130" s="206"/>
      <c r="L130" s="206"/>
      <c r="M130" s="206">
        <f>NDow(YEAR(DateCalc3),10,2,2)</f>
        <v>42289</v>
      </c>
      <c r="N130" s="206"/>
      <c r="O130" s="206"/>
      <c r="P130" s="3"/>
    </row>
    <row r="131" spans="1:16" ht="12.75">
      <c r="A131" s="3"/>
      <c r="B131" s="3" t="s">
        <v>293</v>
      </c>
      <c r="C131" s="3"/>
      <c r="D131" s="204">
        <f ca="1">IF(TODAY()&gt;D130,NDow(YEAR(TODAY())+1,10,2,2),"")</f>
      </c>
      <c r="E131" s="204"/>
      <c r="F131" s="204"/>
      <c r="G131" s="204">
        <f>IF(DateCalc1&gt;G130,NDow(YEAR(DateCalc1)+1,10,2,2),"")</f>
      </c>
      <c r="H131" s="204"/>
      <c r="I131" s="204"/>
      <c r="J131" s="204">
        <f>IF(DateCalc2&gt;J130,NDow(YEAR(DateCalc2)+1,10,2,2),"")</f>
      </c>
      <c r="K131" s="204"/>
      <c r="L131" s="204"/>
      <c r="M131" s="204">
        <f>IF(DateCalc3&gt;M130,NDow(YEAR(DateCalc3)+1,10,2,2),"")</f>
      </c>
      <c r="N131" s="204"/>
      <c r="O131" s="204"/>
      <c r="P131" s="3"/>
    </row>
    <row r="132" spans="1:16" ht="12.75">
      <c r="A132" s="3"/>
      <c r="B132" s="3" t="s">
        <v>288</v>
      </c>
      <c r="C132" s="3"/>
      <c r="D132" s="10">
        <f ca="1">IF(D131="",D130-TODAY(),D131-TODAY())</f>
        <v>250</v>
      </c>
      <c r="E132" s="10"/>
      <c r="F132" s="10"/>
      <c r="G132" s="10">
        <f>IF(G131="",G130-DateCalc1,G131-DateCalc1)</f>
        <v>250</v>
      </c>
      <c r="H132" s="10"/>
      <c r="I132" s="10"/>
      <c r="J132" s="10">
        <f>IF(J131="",J130-DateCalc2,J131-DateCalc2)</f>
        <v>250</v>
      </c>
      <c r="K132" s="10"/>
      <c r="L132" s="10"/>
      <c r="M132" s="10">
        <f>IF(M131="",M130-DateCalc3,M131-DateCalc3)</f>
        <v>283</v>
      </c>
      <c r="N132" s="10"/>
      <c r="O132" s="10"/>
      <c r="P132" s="3"/>
    </row>
    <row r="133" spans="1:16" ht="12.75">
      <c r="A133" s="3"/>
      <c r="B133" s="3" t="s">
        <v>351</v>
      </c>
      <c r="C133" s="3"/>
      <c r="D133" s="203" t="str">
        <f ca="1">IF(D131="",DATEDIF(TODAY(),D130,"ym")&amp;" months, "&amp;DATEDIF(TODAY(),D130,"md")&amp;" days",DATEDIF(TODAY(),D131,"ym")&amp;" months, "&amp;DATEDIF(TODAY(),D131,"md")&amp;" days")</f>
        <v>8 months, 8 days</v>
      </c>
      <c r="E133" s="203"/>
      <c r="F133" s="10"/>
      <c r="G133" s="205" t="str">
        <f>IF(G131="",DATEDIF(DateCalc1,G130,"ym")&amp;" months, "&amp;DATEDIF(DateCalc1,G130,"md")&amp;" days",DATEDIF(DateCalc1,G131,"ym")&amp;" months, "&amp;DATEDIF(DateCalc1,G131,"md")&amp;" days")</f>
        <v>8 months, 8 days</v>
      </c>
      <c r="H133" s="205"/>
      <c r="I133" s="10"/>
      <c r="J133" s="203" t="str">
        <f>IF(J131="",DATEDIF(DateCalc2,J130,"ym")&amp;" months, "&amp;DATEDIF(DateCalc2,J130,"md")&amp;" days",DATEDIF(DateCalc2,J131,"ym")&amp;" months, "&amp;DATEDIF(DateCalc2,J131,"md")&amp;" days")</f>
        <v>8 months, 8 days</v>
      </c>
      <c r="K133" s="203"/>
      <c r="L133" s="10"/>
      <c r="M133" s="203" t="str">
        <f>IF(M131="",DATEDIF(DateCalc3,M130,"ym")&amp;" months, "&amp;DATEDIF(DateCalc3,M130,"md")&amp;" days",DATEDIF(DateCalc3,M131,"ym")&amp;" months, "&amp;DATEDIF(DateCalc3,M131,"md")&amp;" days")</f>
        <v>9 months, 10 days</v>
      </c>
      <c r="N133" s="203"/>
      <c r="O133" s="10"/>
      <c r="P133" s="3"/>
    </row>
    <row r="134" spans="1:16" ht="12.75">
      <c r="A134" s="3"/>
      <c r="B134" s="3"/>
      <c r="C134" s="3"/>
      <c r="D134" s="3"/>
      <c r="E134" s="3"/>
      <c r="F134" s="3"/>
      <c r="G134" s="3"/>
      <c r="H134" s="3"/>
      <c r="I134" s="3"/>
      <c r="J134" s="3"/>
      <c r="K134" s="3"/>
      <c r="L134" s="3"/>
      <c r="M134" s="3"/>
      <c r="N134" s="3"/>
      <c r="O134" s="3"/>
      <c r="P134" s="3"/>
    </row>
    <row r="135" spans="1:16" ht="15.75">
      <c r="A135" s="101" t="s">
        <v>309</v>
      </c>
      <c r="B135" s="3"/>
      <c r="C135" s="3"/>
      <c r="D135" s="3"/>
      <c r="E135" s="3"/>
      <c r="F135" s="3"/>
      <c r="G135" s="3"/>
      <c r="H135" s="3"/>
      <c r="I135" s="3"/>
      <c r="J135" s="3"/>
      <c r="K135" s="3"/>
      <c r="L135" s="3"/>
      <c r="M135" s="3"/>
      <c r="N135" s="3"/>
      <c r="O135" s="3"/>
      <c r="P135" s="3"/>
    </row>
    <row r="136" spans="1:16" ht="12.75">
      <c r="A136" s="3"/>
      <c r="B136" s="3"/>
      <c r="C136" s="3"/>
      <c r="D136" s="204">
        <f ca="1">DATE(YEAR(TODAY()),10,31)</f>
        <v>40847</v>
      </c>
      <c r="E136" s="204"/>
      <c r="F136" s="204"/>
      <c r="G136" s="204">
        <f>DATE(YEAR(DateCalc1),10,31)</f>
        <v>40847</v>
      </c>
      <c r="H136" s="204"/>
      <c r="I136" s="204"/>
      <c r="J136" s="204">
        <f>DATE(YEAR(DateCalc2),10,31)</f>
        <v>40847</v>
      </c>
      <c r="K136" s="204"/>
      <c r="L136" s="204"/>
      <c r="M136" s="204">
        <f>DATE(YEAR(DateCalc3),10,31)</f>
        <v>42308</v>
      </c>
      <c r="N136" s="204"/>
      <c r="O136" s="204"/>
      <c r="P136" s="3"/>
    </row>
    <row r="137" spans="1:16" ht="12.75">
      <c r="A137" s="3"/>
      <c r="B137" s="3" t="s">
        <v>293</v>
      </c>
      <c r="C137" s="3"/>
      <c r="D137" s="204">
        <f ca="1">IF(TODAY()&gt;D136,DATE(YEAR(TODAY())+1,10,31),"")</f>
      </c>
      <c r="E137" s="204"/>
      <c r="F137" s="204"/>
      <c r="G137" s="204">
        <f>IF(DateCalc1&gt;G136,DATE(YEAR(DateCalc1)+1,10,31),"")</f>
      </c>
      <c r="H137" s="204"/>
      <c r="I137" s="204"/>
      <c r="J137" s="204">
        <f>IF(DateCalc2&gt;J136,DATE(YEAR(DateCalc2)+1,10,31),"")</f>
      </c>
      <c r="K137" s="204"/>
      <c r="L137" s="204"/>
      <c r="M137" s="204">
        <f>IF(DateCalc3&gt;M136,DATE(YEAR(DateCalc3)+1,10,31),"")</f>
      </c>
      <c r="N137" s="204"/>
      <c r="O137" s="204"/>
      <c r="P137" s="3"/>
    </row>
    <row r="138" spans="1:16" ht="12.75">
      <c r="A138" s="3"/>
      <c r="B138" s="3" t="s">
        <v>288</v>
      </c>
      <c r="C138" s="3"/>
      <c r="D138" s="10">
        <f ca="1">IF(D137="",D136-TODAY(),D137-TODAY())</f>
        <v>271</v>
      </c>
      <c r="E138" s="10"/>
      <c r="F138" s="10"/>
      <c r="G138" s="10">
        <f>IF(G137="",G136-DateCalc1,G137-DateCalc1)</f>
        <v>271</v>
      </c>
      <c r="H138" s="10"/>
      <c r="I138" s="10"/>
      <c r="J138" s="10">
        <f>IF(J137="",J136-DateCalc2,J137-DateCalc2)</f>
        <v>271</v>
      </c>
      <c r="K138" s="10"/>
      <c r="L138" s="10"/>
      <c r="M138" s="10">
        <f>IF(M137="",M136-DateCalc3,M137-DateCalc3)</f>
        <v>302</v>
      </c>
      <c r="N138" s="10"/>
      <c r="O138" s="10"/>
      <c r="P138" s="3"/>
    </row>
    <row r="139" spans="1:16" ht="12.75">
      <c r="A139" s="3"/>
      <c r="B139" s="3" t="s">
        <v>351</v>
      </c>
      <c r="C139" s="3"/>
      <c r="D139" s="203" t="str">
        <f ca="1">IF(D137="",DATEDIF(TODAY(),D136,"ym")&amp;" months, "&amp;DATEDIF(TODAY(),D136,"md")&amp;" days",DATEDIF(TODAY(),D137,"ym")&amp;" months, "&amp;DATEDIF(TODAY(),D137,"md")&amp;" days")</f>
        <v>8 months, 29 days</v>
      </c>
      <c r="E139" s="203"/>
      <c r="F139" s="10"/>
      <c r="G139" s="203" t="str">
        <f>IF(G137="",DATEDIF(DateCalc1,G136,"ym")&amp;" months, "&amp;DATEDIF(DateCalc1,G136,"md")&amp;" days",DATEDIF(DateCalc1,G137,"ym")&amp;" months, "&amp;DATEDIF(DateCalc1,G137,"md")&amp;" days")</f>
        <v>8 months, 29 days</v>
      </c>
      <c r="H139" s="203"/>
      <c r="I139" s="10"/>
      <c r="J139" s="98" t="str">
        <f>IF(J137="",DATEDIF(DateCalc2,J136,"ym")&amp;" months, "&amp;DATEDIF(DateCalc2,J136,"md")&amp;" days",DATEDIF(DateCalc2,J137,"ym")&amp;" months, "&amp;DATEDIF(DateCalc2,J137,"md")&amp;" days")</f>
        <v>8 months, 29 days</v>
      </c>
      <c r="K139" s="98"/>
      <c r="L139" s="10"/>
      <c r="M139" s="98" t="str">
        <f>IF(M137="",DATEDIF(DateCalc3,M136,"ym")&amp;" months, "&amp;DATEDIF(DateCalc3,M136,"md")&amp;" days",DATEDIF(DateCalc3,M137,"ym")&amp;" months, "&amp;DATEDIF(DateCalc3,M137,"md")&amp;" days")</f>
        <v>9 months, 29 days</v>
      </c>
      <c r="N139" s="98"/>
      <c r="O139" s="10"/>
      <c r="P139" s="3"/>
    </row>
    <row r="140" spans="1:16" ht="12.75">
      <c r="A140" s="3"/>
      <c r="B140" s="3"/>
      <c r="C140" s="3"/>
      <c r="D140" s="3"/>
      <c r="E140" s="3"/>
      <c r="F140" s="3"/>
      <c r="G140" s="3"/>
      <c r="H140" s="3"/>
      <c r="I140" s="3"/>
      <c r="J140" s="3"/>
      <c r="K140" s="3"/>
      <c r="L140" s="3"/>
      <c r="M140" s="3"/>
      <c r="N140" s="3"/>
      <c r="O140" s="3"/>
      <c r="P140" s="3"/>
    </row>
    <row r="141" spans="1:16" ht="15.75">
      <c r="A141" s="101" t="s">
        <v>294</v>
      </c>
      <c r="B141" s="3"/>
      <c r="C141" s="3"/>
      <c r="D141" s="3"/>
      <c r="E141" s="3"/>
      <c r="F141" s="3"/>
      <c r="G141" s="3"/>
      <c r="H141" s="3"/>
      <c r="I141" s="3"/>
      <c r="J141" s="3"/>
      <c r="K141" s="3"/>
      <c r="L141" s="3"/>
      <c r="M141" s="3"/>
      <c r="N141" s="3"/>
      <c r="O141" s="3"/>
      <c r="P141" s="3"/>
    </row>
    <row r="142" spans="1:16" ht="12.75">
      <c r="A142" s="3"/>
      <c r="B142" s="3"/>
      <c r="C142" s="3"/>
      <c r="D142" s="204">
        <f ca="1">DATE(YEAR(TODAY()),11,5)</f>
        <v>40852</v>
      </c>
      <c r="E142" s="204"/>
      <c r="F142" s="204"/>
      <c r="G142" s="204">
        <f>DATE(YEAR(DateCalc1),11,5)</f>
        <v>40852</v>
      </c>
      <c r="H142" s="204"/>
      <c r="I142" s="204"/>
      <c r="J142" s="204">
        <f>DATE(YEAR(DateCalc2),11,5)</f>
        <v>40852</v>
      </c>
      <c r="K142" s="204"/>
      <c r="L142" s="204"/>
      <c r="M142" s="204">
        <f>DATE(YEAR(DateCalc3),11,5)</f>
        <v>42313</v>
      </c>
      <c r="N142" s="204"/>
      <c r="O142" s="204"/>
      <c r="P142" s="3"/>
    </row>
    <row r="143" spans="1:16" ht="12.75">
      <c r="A143" s="3"/>
      <c r="B143" s="3" t="s">
        <v>293</v>
      </c>
      <c r="C143" s="3"/>
      <c r="D143" s="204">
        <f ca="1">IF(TODAY()&gt;D142,DATE(YEAR(TODAY())+1,11,5),"")</f>
      </c>
      <c r="E143" s="204"/>
      <c r="F143" s="204"/>
      <c r="G143" s="204">
        <f>IF(DateCalc1&gt;G142,DATE(YEAR(DateCalc1)+1,11,5),"")</f>
      </c>
      <c r="H143" s="204"/>
      <c r="I143" s="204"/>
      <c r="J143" s="204">
        <f>IF(DateCalc2&gt;J142,DATE(YEAR(DateCalc2)+1,11,5),"")</f>
      </c>
      <c r="K143" s="204"/>
      <c r="L143" s="204"/>
      <c r="M143" s="204">
        <f>IF(DateCalc3&gt;M142,DATE(YEAR(DateCalc3)+1,11,5),"")</f>
      </c>
      <c r="N143" s="204"/>
      <c r="O143" s="204"/>
      <c r="P143" s="3"/>
    </row>
    <row r="144" spans="1:16" ht="12.75">
      <c r="A144" s="3"/>
      <c r="B144" s="3" t="s">
        <v>288</v>
      </c>
      <c r="C144" s="3"/>
      <c r="D144" s="10">
        <f ca="1">IF(D143="",D142-TODAY(),D143-TODAY())</f>
        <v>276</v>
      </c>
      <c r="E144" s="10"/>
      <c r="F144" s="10"/>
      <c r="G144" s="10">
        <f>IF(G143="",G142-DateCalc1,G143-DateCalc1)</f>
        <v>276</v>
      </c>
      <c r="H144" s="10"/>
      <c r="I144" s="10"/>
      <c r="J144" s="10">
        <f>IF(J143="",J142-DateCalc2,J143-DateCalc2)</f>
        <v>276</v>
      </c>
      <c r="K144" s="10"/>
      <c r="L144" s="10"/>
      <c r="M144" s="10">
        <f>IF(M143="",M142-DateCalc3,M143-DateCalc3)</f>
        <v>307</v>
      </c>
      <c r="N144" s="10"/>
      <c r="O144" s="10"/>
      <c r="P144" s="3"/>
    </row>
    <row r="145" spans="1:16" ht="12.75">
      <c r="A145" s="3"/>
      <c r="B145" s="3" t="s">
        <v>351</v>
      </c>
      <c r="C145" s="3"/>
      <c r="D145" s="203" t="str">
        <f ca="1">IF(D143="",DATEDIF(TODAY(),D142,"ym")&amp;" months, "&amp;DATEDIF(TODAY(),D142,"md")&amp;" days",DATEDIF(TODAY(),D143,"ym")&amp;" months, "&amp;DATEDIF(TODAY(),D143,"md")&amp;" days")</f>
        <v>9 months, 3 days</v>
      </c>
      <c r="E145" s="203"/>
      <c r="F145" s="10"/>
      <c r="G145" s="203" t="str">
        <f>IF(G143="",DATEDIF(DateCalc1,G142,"ym")&amp;" months, "&amp;DATEDIF(DateCalc1,G142,"md")&amp;" days",DATEDIF(DateCalc1,G143,"ym")&amp;" months, "&amp;DATEDIF(DateCalc1,G143,"md")&amp;" days")</f>
        <v>9 months, 3 days</v>
      </c>
      <c r="H145" s="203"/>
      <c r="I145" s="10"/>
      <c r="J145" s="98" t="str">
        <f>IF(J143="",DATEDIF(DateCalc2,J142,"ym")&amp;" months, "&amp;DATEDIF(DateCalc2,J142,"md")&amp;" days",DATEDIF(DateCalc2,J143,"ym")&amp;" months, "&amp;DATEDIF(DateCalc2,J143,"md")&amp;" days")</f>
        <v>9 months, 3 days</v>
      </c>
      <c r="K145" s="98"/>
      <c r="L145" s="10"/>
      <c r="M145" s="98" t="str">
        <f>IF(M143="",DATEDIF(DateCalc3,M142,"ym")&amp;" months, "&amp;DATEDIF(DateCalc3,M142,"md")&amp;" days",DATEDIF(DateCalc3,M143,"ym")&amp;" months, "&amp;DATEDIF(DateCalc3,M143,"md")&amp;" days")</f>
        <v>10 months, 3 days</v>
      </c>
      <c r="N145" s="98"/>
      <c r="O145" s="10"/>
      <c r="P145" s="3"/>
    </row>
    <row r="146" spans="1:16" ht="12.75">
      <c r="A146" s="3"/>
      <c r="B146" s="3"/>
      <c r="C146" s="3"/>
      <c r="D146" s="3"/>
      <c r="E146" s="3"/>
      <c r="F146" s="3"/>
      <c r="G146" s="3"/>
      <c r="H146" s="3"/>
      <c r="I146" s="3"/>
      <c r="J146" s="3"/>
      <c r="K146" s="3"/>
      <c r="L146" s="3"/>
      <c r="M146" s="3"/>
      <c r="N146" s="3"/>
      <c r="O146" s="3"/>
      <c r="P146" s="3"/>
    </row>
    <row r="147" spans="1:16" ht="15.75">
      <c r="A147" s="101" t="s">
        <v>299</v>
      </c>
      <c r="B147" s="3"/>
      <c r="C147" s="3"/>
      <c r="D147" s="3"/>
      <c r="E147" s="3"/>
      <c r="F147" s="3"/>
      <c r="G147" s="3"/>
      <c r="H147" s="3"/>
      <c r="I147" s="3"/>
      <c r="J147" s="3"/>
      <c r="K147" s="3"/>
      <c r="L147" s="3"/>
      <c r="M147" s="3"/>
      <c r="N147" s="3"/>
      <c r="O147" s="3"/>
      <c r="P147" s="3"/>
    </row>
    <row r="148" spans="1:16" ht="12.75">
      <c r="A148" s="3"/>
      <c r="B148" s="3"/>
      <c r="C148" s="3"/>
      <c r="D148" s="204">
        <f ca="1">DATE(YEAR(TODAY()),11,11)</f>
        <v>40858</v>
      </c>
      <c r="E148" s="204"/>
      <c r="F148" s="204"/>
      <c r="G148" s="204">
        <f>DATE(YEAR(DateCalc1),11,11)</f>
        <v>40858</v>
      </c>
      <c r="H148" s="204"/>
      <c r="I148" s="204"/>
      <c r="J148" s="204">
        <f>DATE(YEAR(DateCalc2),11,11)</f>
        <v>40858</v>
      </c>
      <c r="K148" s="204"/>
      <c r="L148" s="204"/>
      <c r="M148" s="204">
        <f>DATE(YEAR(DateCalc3),11,11)</f>
        <v>42319</v>
      </c>
      <c r="N148" s="204"/>
      <c r="O148" s="204"/>
      <c r="P148" s="3"/>
    </row>
    <row r="149" spans="1:16" ht="12.75">
      <c r="A149" s="3"/>
      <c r="B149" s="3" t="s">
        <v>293</v>
      </c>
      <c r="C149" s="3"/>
      <c r="D149" s="204">
        <f ca="1">IF(TODAY()&gt;D148,DATE(YEAR(TODAY())+1,11,11),"")</f>
      </c>
      <c r="E149" s="204"/>
      <c r="F149" s="204"/>
      <c r="G149" s="204">
        <f>IF(DateCalc1&gt;G148,DATE(YEAR(DateCalc1)+1,11,11),"")</f>
      </c>
      <c r="H149" s="204"/>
      <c r="I149" s="204"/>
      <c r="J149" s="204">
        <f>IF(DateCalc2&gt;J148,DATE(YEAR(DateCalc2)+1,11,11),"")</f>
      </c>
      <c r="K149" s="204"/>
      <c r="L149" s="204"/>
      <c r="M149" s="204">
        <f>IF(DateCalc3&gt;M148,DATE(YEAR(DateCalc3)+1,11,11),"")</f>
      </c>
      <c r="N149" s="204"/>
      <c r="O149" s="204"/>
      <c r="P149" s="3"/>
    </row>
    <row r="150" spans="1:16" ht="12.75">
      <c r="A150" s="3"/>
      <c r="B150" s="3" t="s">
        <v>288</v>
      </c>
      <c r="C150" s="3"/>
      <c r="D150" s="10">
        <f ca="1">IF(D149="",D148-TODAY(),D149-TODAY())</f>
        <v>282</v>
      </c>
      <c r="E150" s="10"/>
      <c r="F150" s="10"/>
      <c r="G150" s="10">
        <f>IF(G149="",G148-DateCalc1,G149-DateCalc1)</f>
        <v>282</v>
      </c>
      <c r="H150" s="10"/>
      <c r="I150" s="10"/>
      <c r="J150" s="10">
        <f>IF(J149="",J148-DateCalc2,J149-DateCalc2)</f>
        <v>282</v>
      </c>
      <c r="K150" s="10"/>
      <c r="L150" s="10"/>
      <c r="M150" s="10">
        <f>IF(M149="",M148-DateCalc3,M149-DateCalc3)</f>
        <v>313</v>
      </c>
      <c r="N150" s="10"/>
      <c r="O150" s="10"/>
      <c r="P150" s="3"/>
    </row>
    <row r="151" spans="1:16" ht="12.75">
      <c r="A151" s="3"/>
      <c r="B151" s="3" t="s">
        <v>351</v>
      </c>
      <c r="C151" s="3"/>
      <c r="D151" s="203" t="str">
        <f ca="1">IF(D149="",DATEDIF(TODAY(),D148,"ym")&amp;" months, "&amp;DATEDIF(TODAY(),D148,"md")&amp;" days",DATEDIF(TODAY(),D149,"ym")&amp;" months, "&amp;DATEDIF(TODAY(),D149,"md")&amp;" days")</f>
        <v>9 months, 9 days</v>
      </c>
      <c r="E151" s="203"/>
      <c r="F151" s="10"/>
      <c r="G151" s="203" t="str">
        <f>IF(G149="",DATEDIF(DateCalc1,G148,"ym")&amp;" months, "&amp;DATEDIF(DateCalc1,G148,"md")&amp;" days",DATEDIF(DateCalc1,G149,"ym")&amp;" months, "&amp;DATEDIF(DateCalc1,G149,"md")&amp;" days")</f>
        <v>9 months, 9 days</v>
      </c>
      <c r="H151" s="203"/>
      <c r="I151" s="10"/>
      <c r="J151" s="98" t="str">
        <f>IF(J149="",DATEDIF(DateCalc2,J148,"ym")&amp;" months, "&amp;DATEDIF(DateCalc2,J148,"md")&amp;" days",DATEDIF(DateCalc2,J149,"ym")&amp;" months, "&amp;DATEDIF(DateCalc2,J149,"md")&amp;" days")</f>
        <v>9 months, 9 days</v>
      </c>
      <c r="K151" s="98"/>
      <c r="L151" s="10"/>
      <c r="M151" s="98" t="str">
        <f>IF(M149="",DATEDIF(DateCalc3,M148,"ym")&amp;" months, "&amp;DATEDIF(DateCalc3,M148,"md")&amp;" days",DATEDIF(DateCalc3,M149,"ym")&amp;" months, "&amp;DATEDIF(DateCalc3,M149,"md")&amp;" days")</f>
        <v>10 months, 9 days</v>
      </c>
      <c r="N151" s="98"/>
      <c r="O151" s="10"/>
      <c r="P151" s="3"/>
    </row>
    <row r="152" spans="1:16" ht="12.75">
      <c r="A152" s="3"/>
      <c r="B152" s="3"/>
      <c r="C152" s="3"/>
      <c r="D152" s="3"/>
      <c r="E152" s="3"/>
      <c r="F152" s="3"/>
      <c r="G152" s="3"/>
      <c r="H152" s="3"/>
      <c r="I152" s="3"/>
      <c r="J152" s="3"/>
      <c r="K152" s="3"/>
      <c r="L152" s="3"/>
      <c r="M152" s="3"/>
      <c r="N152" s="3"/>
      <c r="O152" s="3"/>
      <c r="P152" s="3"/>
    </row>
    <row r="153" spans="1:16" ht="15.75">
      <c r="A153" s="101" t="s">
        <v>298</v>
      </c>
      <c r="B153" s="3"/>
      <c r="C153" s="3"/>
      <c r="D153" s="3"/>
      <c r="E153" s="3"/>
      <c r="F153" s="3"/>
      <c r="G153" s="3"/>
      <c r="H153" s="3"/>
      <c r="I153" s="3"/>
      <c r="J153" s="3"/>
      <c r="K153" s="3"/>
      <c r="L153" s="3"/>
      <c r="M153" s="3"/>
      <c r="N153" s="3"/>
      <c r="O153" s="3"/>
      <c r="P153" s="3"/>
    </row>
    <row r="154" spans="1:16" ht="12.75">
      <c r="A154" s="3"/>
      <c r="B154" s="3"/>
      <c r="C154" s="3"/>
      <c r="D154" s="206">
        <f ca="1">NDow(YEAR(TODAY()),11,4,5)</f>
        <v>40871</v>
      </c>
      <c r="E154" s="206"/>
      <c r="F154" s="206"/>
      <c r="G154" s="206">
        <f>NDow(YEAR(DateCalc1),11,4,5)</f>
        <v>40871</v>
      </c>
      <c r="H154" s="206"/>
      <c r="I154" s="206"/>
      <c r="J154" s="206">
        <f>NDow(YEAR(DateCalc2),11,4,5)</f>
        <v>40871</v>
      </c>
      <c r="K154" s="206"/>
      <c r="L154" s="206"/>
      <c r="M154" s="206">
        <f>NDow(YEAR(DateCalc3),11,4,5)</f>
        <v>42334</v>
      </c>
      <c r="N154" s="206"/>
      <c r="O154" s="206"/>
      <c r="P154" s="3"/>
    </row>
    <row r="155" spans="1:16" ht="12.75">
      <c r="A155" s="3"/>
      <c r="B155" s="3" t="s">
        <v>292</v>
      </c>
      <c r="C155" s="3"/>
      <c r="D155" s="204">
        <f ca="1">IF(TODAY()&gt;D154,NDow(YEAR(TODAY())+1,11,4,5),"")</f>
      </c>
      <c r="E155" s="204"/>
      <c r="F155" s="204"/>
      <c r="G155" s="204">
        <f>IF(DateCalc1&gt;G154,NDow(YEAR(DateCalc1)+1,11,4,5),"")</f>
      </c>
      <c r="H155" s="204"/>
      <c r="I155" s="204"/>
      <c r="J155" s="204">
        <f>IF(DateCalc2&gt;J154,NDow(YEAR(DateCalc2)+1,11,4,5),"")</f>
      </c>
      <c r="K155" s="204"/>
      <c r="L155" s="204"/>
      <c r="M155" s="204">
        <f>IF(DateCalc3&gt;M154,NDow(YEAR(DateCalc3)+1,11,4,5),"")</f>
      </c>
      <c r="N155" s="204"/>
      <c r="O155" s="204"/>
      <c r="P155" s="3"/>
    </row>
    <row r="156" spans="1:16" ht="12.75">
      <c r="A156" s="3"/>
      <c r="B156" s="3" t="s">
        <v>288</v>
      </c>
      <c r="C156" s="3"/>
      <c r="D156" s="10">
        <f ca="1">IF(D155="",D154-TODAY(),D155-TODAY())</f>
        <v>295</v>
      </c>
      <c r="E156" s="10"/>
      <c r="F156" s="10"/>
      <c r="G156" s="10">
        <f>IF(G155="",G154-DateCalc1,G155-DateCalc1)</f>
        <v>295</v>
      </c>
      <c r="H156" s="10"/>
      <c r="I156" s="10"/>
      <c r="J156" s="10">
        <f>IF(J155="",J154-DateCalc2,J155-DateCalc2)</f>
        <v>295</v>
      </c>
      <c r="K156" s="10"/>
      <c r="L156" s="10"/>
      <c r="M156" s="10">
        <f>IF(M155="",M154-DateCalc3,M155-DateCalc3)</f>
        <v>328</v>
      </c>
      <c r="N156" s="10"/>
      <c r="O156" s="10"/>
      <c r="P156" s="3"/>
    </row>
    <row r="157" spans="1:16" ht="12.75">
      <c r="A157" s="3"/>
      <c r="B157" s="3" t="s">
        <v>351</v>
      </c>
      <c r="C157" s="3"/>
      <c r="D157" s="203" t="str">
        <f ca="1">IF(D155="",DATEDIF(TODAY(),D154,"ym")&amp;" months, "&amp;DATEDIF(TODAY(),D154,"md")&amp;" days",DATEDIF(TODAY(),D155,"ym")&amp;" months, "&amp;DATEDIF(TODAY(),D155,"md")&amp;" days")</f>
        <v>9 months, 22 days</v>
      </c>
      <c r="E157" s="203"/>
      <c r="F157" s="10"/>
      <c r="G157" s="205" t="str">
        <f>IF(G155="",DATEDIF(DateCalc1,G154,"ym")&amp;" months, "&amp;DATEDIF(DateCalc1,G154,"md")&amp;" days",DATEDIF(DateCalc1,G155,"ym")&amp;" months, "&amp;DATEDIF(DateCalc1,G155,"md")&amp;" days")</f>
        <v>9 months, 22 days</v>
      </c>
      <c r="H157" s="205"/>
      <c r="I157" s="10"/>
      <c r="J157" s="203" t="str">
        <f>IF(J155="",DATEDIF(DateCalc2,J154,"ym")&amp;" months, "&amp;DATEDIF(DateCalc2,J154,"md")&amp;" days",DATEDIF(DateCalc2,J155,"ym")&amp;" months, "&amp;DATEDIF(DateCalc2,J155,"md")&amp;" days")</f>
        <v>9 months, 22 days</v>
      </c>
      <c r="K157" s="203"/>
      <c r="L157" s="10"/>
      <c r="M157" s="203" t="str">
        <f>IF(M155="",DATEDIF(DateCalc3,M154,"ym")&amp;" months, "&amp;DATEDIF(DateCalc3,M154,"md")&amp;" days",DATEDIF(DateCalc3,M155,"ym")&amp;" months, "&amp;DATEDIF(DateCalc3,M155,"md")&amp;" days")</f>
        <v>10 months, 24 days</v>
      </c>
      <c r="N157" s="203"/>
      <c r="O157" s="10"/>
      <c r="P157" s="3"/>
    </row>
    <row r="158" spans="1:16" ht="12.75">
      <c r="A158" s="3"/>
      <c r="B158" s="3"/>
      <c r="C158" s="3"/>
      <c r="D158" s="3"/>
      <c r="E158" s="3"/>
      <c r="F158" s="3"/>
      <c r="G158" s="3"/>
      <c r="H158" s="3"/>
      <c r="I158" s="3"/>
      <c r="J158" s="3"/>
      <c r="K158" s="3"/>
      <c r="L158" s="3"/>
      <c r="M158" s="3"/>
      <c r="N158" s="3"/>
      <c r="O158" s="3"/>
      <c r="P158" s="3"/>
    </row>
    <row r="159" spans="1:16" ht="15.75">
      <c r="A159" s="101" t="s">
        <v>290</v>
      </c>
      <c r="B159" s="3"/>
      <c r="C159" s="3"/>
      <c r="D159" s="3"/>
      <c r="E159" s="3"/>
      <c r="F159" s="3"/>
      <c r="G159" s="3"/>
      <c r="H159" s="3"/>
      <c r="I159" s="3"/>
      <c r="J159" s="3"/>
      <c r="K159" s="3"/>
      <c r="L159" s="3"/>
      <c r="M159" s="3"/>
      <c r="N159" s="3"/>
      <c r="O159" s="3"/>
      <c r="P159" s="3"/>
    </row>
    <row r="160" spans="1:16" ht="12.75">
      <c r="A160" s="3"/>
      <c r="B160" s="3"/>
      <c r="C160" s="3"/>
      <c r="D160" s="204">
        <f ca="1">DATE(YEAR(TODAY()),12,25)</f>
        <v>40902</v>
      </c>
      <c r="E160" s="204"/>
      <c r="F160" s="204"/>
      <c r="G160" s="204">
        <f>DATE(YEAR(DateCalc1),12,25)</f>
        <v>40902</v>
      </c>
      <c r="H160" s="204"/>
      <c r="I160" s="204"/>
      <c r="J160" s="204">
        <f>DATE(YEAR(DateCalc2),12,25)</f>
        <v>40902</v>
      </c>
      <c r="K160" s="204"/>
      <c r="L160" s="204"/>
      <c r="M160" s="204">
        <f>DATE(YEAR(DateCalc3),12,25)</f>
        <v>42363</v>
      </c>
      <c r="N160" s="204"/>
      <c r="O160" s="204"/>
      <c r="P160" s="3"/>
    </row>
    <row r="161" spans="1:16" ht="12.75">
      <c r="A161" s="3"/>
      <c r="B161" s="3" t="s">
        <v>293</v>
      </c>
      <c r="C161" s="3"/>
      <c r="D161" s="204">
        <f ca="1">IF(TODAY()&gt;D160,DATE(YEAR(TODAY())+1,12,25),"")</f>
      </c>
      <c r="E161" s="204"/>
      <c r="F161" s="204"/>
      <c r="G161" s="204">
        <f>IF(DateCalc1&gt;G160,DATE(YEAR(DateCalc1)+1,12,25),"")</f>
      </c>
      <c r="H161" s="204"/>
      <c r="I161" s="204"/>
      <c r="J161" s="204">
        <f>IF(DateCalc2&gt;J160,DATE(YEAR(DateCalc2)+1,12,25),"")</f>
      </c>
      <c r="K161" s="204"/>
      <c r="L161" s="204"/>
      <c r="M161" s="204">
        <f>IF(DateCalc3&gt;M160,DATE(YEAR(DateCalc3)+1,12,25),"")</f>
      </c>
      <c r="N161" s="204"/>
      <c r="O161" s="204"/>
      <c r="P161" s="3"/>
    </row>
    <row r="162" spans="1:16" ht="12.75">
      <c r="A162" s="3"/>
      <c r="B162" s="3" t="s">
        <v>288</v>
      </c>
      <c r="C162" s="3"/>
      <c r="D162" s="10">
        <f ca="1">IF(D161="",D160-TODAY(),D161-TODAY())</f>
        <v>326</v>
      </c>
      <c r="E162" s="10"/>
      <c r="F162" s="10"/>
      <c r="G162" s="10">
        <f>IF(G161="",G160-DateCalc1,G161-DateCalc1)</f>
        <v>326</v>
      </c>
      <c r="H162" s="10"/>
      <c r="I162" s="10"/>
      <c r="J162" s="10">
        <f>IF(J161="",J160-DateCalc2,J161-DateCalc2)</f>
        <v>326</v>
      </c>
      <c r="K162" s="10"/>
      <c r="L162" s="10"/>
      <c r="M162" s="10">
        <f>IF(M161="",M160-DateCalc3,M161-DateCalc3)</f>
        <v>357</v>
      </c>
      <c r="N162" s="10"/>
      <c r="O162" s="10"/>
      <c r="P162" s="3"/>
    </row>
    <row r="163" spans="1:16" ht="12.75">
      <c r="A163" s="3"/>
      <c r="B163" s="3" t="s">
        <v>351</v>
      </c>
      <c r="C163" s="3"/>
      <c r="D163" s="203" t="str">
        <f ca="1">IF(D161="",DATEDIF(TODAY(),D160,"ym")&amp;" months, "&amp;DATEDIF(TODAY(),D160,"md")&amp;" days",DATEDIF(TODAY(),D161,"ym")&amp;" months, "&amp;DATEDIF(TODAY(),D161,"md")&amp;" days")</f>
        <v>10 months, 23 days</v>
      </c>
      <c r="E163" s="203"/>
      <c r="F163" s="10"/>
      <c r="G163" s="203" t="str">
        <f>IF(G161="",DATEDIF(DateCalc1,G160,"ym")&amp;" months, "&amp;DATEDIF(DateCalc1,G160,"md")&amp;" days",DATEDIF(DateCalc1,G161,"ym")&amp;" months, "&amp;DATEDIF(DateCalc1,G161,"md")&amp;" days")</f>
        <v>10 months, 23 days</v>
      </c>
      <c r="H163" s="203"/>
      <c r="I163" s="10"/>
      <c r="J163" s="98" t="str">
        <f>IF(J161="",DATEDIF(DateCalc2,J160,"ym")&amp;" months, "&amp;DATEDIF(DateCalc2,J160,"md")&amp;" days",DATEDIF(DateCalc2,J161,"ym")&amp;" months, "&amp;DATEDIF(DateCalc2,J161,"md")&amp;" days")</f>
        <v>10 months, 23 days</v>
      </c>
      <c r="K163" s="98"/>
      <c r="L163" s="10"/>
      <c r="M163" s="98" t="str">
        <f>IF(M161="",DATEDIF(DateCalc3,M160,"ym")&amp;" months, "&amp;DATEDIF(DateCalc3,M160,"md")&amp;" days",DATEDIF(DateCalc3,M161,"ym")&amp;" months, "&amp;DATEDIF(DateCalc3,M161,"md")&amp;" days")</f>
        <v>11 months, 23 days</v>
      </c>
      <c r="N163" s="98"/>
      <c r="O163" s="10"/>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t="s">
        <v>314</v>
      </c>
      <c r="B166" s="3"/>
      <c r="C166" s="3"/>
      <c r="D166" s="3"/>
      <c r="E166" s="3"/>
      <c r="F166" s="3"/>
      <c r="G166" s="3"/>
      <c r="H166" s="3"/>
      <c r="I166" s="3"/>
      <c r="J166" s="3"/>
      <c r="K166" s="3"/>
      <c r="L166" s="3"/>
      <c r="M166" s="3"/>
      <c r="N166" s="3"/>
      <c r="O166" s="3"/>
      <c r="P166" s="3"/>
    </row>
    <row r="167" spans="1:16" ht="12.75">
      <c r="A167" s="3" t="s">
        <v>311</v>
      </c>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sheetData>
  <sheetProtection sheet="1" objects="1" scenarios="1" selectLockedCells="1"/>
  <mergeCells count="237">
    <mergeCell ref="A24:O24"/>
    <mergeCell ref="J94:L94"/>
    <mergeCell ref="M94:O94"/>
    <mergeCell ref="D95:F95"/>
    <mergeCell ref="G95:I95"/>
    <mergeCell ref="J95:L95"/>
    <mergeCell ref="M95:O95"/>
    <mergeCell ref="J82:L82"/>
    <mergeCell ref="M82:O82"/>
    <mergeCell ref="D83:F83"/>
    <mergeCell ref="D139:E139"/>
    <mergeCell ref="G139:H139"/>
    <mergeCell ref="D94:F94"/>
    <mergeCell ref="G94:I94"/>
    <mergeCell ref="D97:E97"/>
    <mergeCell ref="G97:H97"/>
    <mergeCell ref="D137:F137"/>
    <mergeCell ref="G137:I137"/>
    <mergeCell ref="D133:E133"/>
    <mergeCell ref="G133:H133"/>
    <mergeCell ref="M83:O83"/>
    <mergeCell ref="D82:F82"/>
    <mergeCell ref="G82:I82"/>
    <mergeCell ref="J137:L137"/>
    <mergeCell ref="M137:O137"/>
    <mergeCell ref="D136:F136"/>
    <mergeCell ref="G136:I136"/>
    <mergeCell ref="J136:L136"/>
    <mergeCell ref="M136:O136"/>
    <mergeCell ref="J133:K133"/>
    <mergeCell ref="D67:E67"/>
    <mergeCell ref="G67:H67"/>
    <mergeCell ref="D76:F76"/>
    <mergeCell ref="G76:I76"/>
    <mergeCell ref="D73:E73"/>
    <mergeCell ref="G73:H73"/>
    <mergeCell ref="D64:F64"/>
    <mergeCell ref="G64:I64"/>
    <mergeCell ref="J64:L64"/>
    <mergeCell ref="M64:O64"/>
    <mergeCell ref="D65:F65"/>
    <mergeCell ref="G65:I65"/>
    <mergeCell ref="J65:L65"/>
    <mergeCell ref="M65:O65"/>
    <mergeCell ref="M58:O58"/>
    <mergeCell ref="D59:F59"/>
    <mergeCell ref="G59:I59"/>
    <mergeCell ref="J59:L59"/>
    <mergeCell ref="M59:O59"/>
    <mergeCell ref="D61:E61"/>
    <mergeCell ref="G61:H61"/>
    <mergeCell ref="M133:N133"/>
    <mergeCell ref="D131:F131"/>
    <mergeCell ref="G131:I131"/>
    <mergeCell ref="J131:L131"/>
    <mergeCell ref="M131:O131"/>
    <mergeCell ref="D127:E127"/>
    <mergeCell ref="G127:H127"/>
    <mergeCell ref="J127:K127"/>
    <mergeCell ref="M127:N127"/>
    <mergeCell ref="D130:F130"/>
    <mergeCell ref="G130:I130"/>
    <mergeCell ref="J130:L130"/>
    <mergeCell ref="M130:O130"/>
    <mergeCell ref="J124:L124"/>
    <mergeCell ref="M124:O124"/>
    <mergeCell ref="D125:F125"/>
    <mergeCell ref="G125:I125"/>
    <mergeCell ref="J125:L125"/>
    <mergeCell ref="M125:O125"/>
    <mergeCell ref="D115:E115"/>
    <mergeCell ref="G115:H115"/>
    <mergeCell ref="D124:F124"/>
    <mergeCell ref="G124:I124"/>
    <mergeCell ref="D121:E121"/>
    <mergeCell ref="G121:H121"/>
    <mergeCell ref="D118:F118"/>
    <mergeCell ref="G118:I118"/>
    <mergeCell ref="D112:F112"/>
    <mergeCell ref="G112:I112"/>
    <mergeCell ref="J112:L112"/>
    <mergeCell ref="M112:O112"/>
    <mergeCell ref="D113:F113"/>
    <mergeCell ref="G113:I113"/>
    <mergeCell ref="J113:L113"/>
    <mergeCell ref="M113:O113"/>
    <mergeCell ref="J121:K121"/>
    <mergeCell ref="M121:N121"/>
    <mergeCell ref="D119:F119"/>
    <mergeCell ref="G119:I119"/>
    <mergeCell ref="J119:L119"/>
    <mergeCell ref="M119:O119"/>
    <mergeCell ref="J118:L118"/>
    <mergeCell ref="M118:O118"/>
    <mergeCell ref="D145:E145"/>
    <mergeCell ref="G145:H145"/>
    <mergeCell ref="D143:F143"/>
    <mergeCell ref="G143:I143"/>
    <mergeCell ref="J143:L143"/>
    <mergeCell ref="M143:O143"/>
    <mergeCell ref="D142:F142"/>
    <mergeCell ref="G142:I142"/>
    <mergeCell ref="J142:L142"/>
    <mergeCell ref="M142:O142"/>
    <mergeCell ref="D157:E157"/>
    <mergeCell ref="G157:H157"/>
    <mergeCell ref="J157:K157"/>
    <mergeCell ref="M157:N157"/>
    <mergeCell ref="D155:F155"/>
    <mergeCell ref="G155:I155"/>
    <mergeCell ref="J155:L155"/>
    <mergeCell ref="M155:O155"/>
    <mergeCell ref="D52:F52"/>
    <mergeCell ref="G52:I52"/>
    <mergeCell ref="J52:L52"/>
    <mergeCell ref="M52:O52"/>
    <mergeCell ref="D53:F53"/>
    <mergeCell ref="G53:I53"/>
    <mergeCell ref="J53:L53"/>
    <mergeCell ref="M53:O53"/>
    <mergeCell ref="D103:E103"/>
    <mergeCell ref="G103:H103"/>
    <mergeCell ref="J103:K103"/>
    <mergeCell ref="M103:N103"/>
    <mergeCell ref="D163:E163"/>
    <mergeCell ref="D161:F161"/>
    <mergeCell ref="G161:I161"/>
    <mergeCell ref="G163:H163"/>
    <mergeCell ref="J161:L161"/>
    <mergeCell ref="M161:O161"/>
    <mergeCell ref="G55:H55"/>
    <mergeCell ref="J55:K55"/>
    <mergeCell ref="M55:N55"/>
    <mergeCell ref="D100:F100"/>
    <mergeCell ref="D101:F101"/>
    <mergeCell ref="G100:I100"/>
    <mergeCell ref="G101:I101"/>
    <mergeCell ref="D58:F58"/>
    <mergeCell ref="G58:I58"/>
    <mergeCell ref="J58:L58"/>
    <mergeCell ref="D160:F160"/>
    <mergeCell ref="G160:I160"/>
    <mergeCell ref="J160:L160"/>
    <mergeCell ref="M160:O160"/>
    <mergeCell ref="D154:F154"/>
    <mergeCell ref="G154:I154"/>
    <mergeCell ref="J154:L154"/>
    <mergeCell ref="M154:O154"/>
    <mergeCell ref="E14:G14"/>
    <mergeCell ref="E16:G16"/>
    <mergeCell ref="E18:G18"/>
    <mergeCell ref="C22:E22"/>
    <mergeCell ref="E20:G20"/>
    <mergeCell ref="A1:O1"/>
    <mergeCell ref="B5:E5"/>
    <mergeCell ref="G5:J5"/>
    <mergeCell ref="L5:O5"/>
    <mergeCell ref="A32:O32"/>
    <mergeCell ref="G39:H39"/>
    <mergeCell ref="I39:J39"/>
    <mergeCell ref="K39:L39"/>
    <mergeCell ref="M39:N39"/>
    <mergeCell ref="I14:K14"/>
    <mergeCell ref="I16:K16"/>
    <mergeCell ref="G22:I22"/>
    <mergeCell ref="K22:M22"/>
    <mergeCell ref="I20:K20"/>
    <mergeCell ref="D106:F106"/>
    <mergeCell ref="G106:I106"/>
    <mergeCell ref="J106:L106"/>
    <mergeCell ref="M106:O106"/>
    <mergeCell ref="A45:O45"/>
    <mergeCell ref="G42:H42"/>
    <mergeCell ref="I42:J42"/>
    <mergeCell ref="K42:L42"/>
    <mergeCell ref="M42:N42"/>
    <mergeCell ref="D55:E55"/>
    <mergeCell ref="J109:K109"/>
    <mergeCell ref="M109:N109"/>
    <mergeCell ref="D107:F107"/>
    <mergeCell ref="G107:I107"/>
    <mergeCell ref="J107:L107"/>
    <mergeCell ref="M107:O107"/>
    <mergeCell ref="M70:O70"/>
    <mergeCell ref="D71:F71"/>
    <mergeCell ref="G71:I71"/>
    <mergeCell ref="J71:L71"/>
    <mergeCell ref="M71:O71"/>
    <mergeCell ref="D70:F70"/>
    <mergeCell ref="G70:I70"/>
    <mergeCell ref="D79:E79"/>
    <mergeCell ref="G79:H79"/>
    <mergeCell ref="D77:F77"/>
    <mergeCell ref="G77:I77"/>
    <mergeCell ref="G83:I83"/>
    <mergeCell ref="J70:L70"/>
    <mergeCell ref="J83:L83"/>
    <mergeCell ref="J73:K73"/>
    <mergeCell ref="M73:N73"/>
    <mergeCell ref="D88:F88"/>
    <mergeCell ref="G88:I88"/>
    <mergeCell ref="D85:E85"/>
    <mergeCell ref="G85:H85"/>
    <mergeCell ref="J76:L76"/>
    <mergeCell ref="M76:O76"/>
    <mergeCell ref="J77:L77"/>
    <mergeCell ref="M77:O77"/>
    <mergeCell ref="J88:L88"/>
    <mergeCell ref="M88:O88"/>
    <mergeCell ref="J100:L100"/>
    <mergeCell ref="J101:L101"/>
    <mergeCell ref="M100:O100"/>
    <mergeCell ref="M101:O101"/>
    <mergeCell ref="J89:L89"/>
    <mergeCell ref="M89:O89"/>
    <mergeCell ref="D91:E91"/>
    <mergeCell ref="G91:H91"/>
    <mergeCell ref="D89:F89"/>
    <mergeCell ref="J148:L148"/>
    <mergeCell ref="M148:O148"/>
    <mergeCell ref="J149:L149"/>
    <mergeCell ref="M149:O149"/>
    <mergeCell ref="G89:I89"/>
    <mergeCell ref="D109:E109"/>
    <mergeCell ref="G109:H109"/>
    <mergeCell ref="D151:E151"/>
    <mergeCell ref="G151:H151"/>
    <mergeCell ref="D149:F149"/>
    <mergeCell ref="G149:I149"/>
    <mergeCell ref="D148:F148"/>
    <mergeCell ref="G148:I148"/>
    <mergeCell ref="G28:I28"/>
    <mergeCell ref="G29:J29"/>
    <mergeCell ref="G30:I30"/>
    <mergeCell ref="K28:N28"/>
    <mergeCell ref="K30:N30"/>
    <mergeCell ref="B29:C29"/>
  </mergeCells>
  <dataValidations count="9">
    <dataValidation type="list" showInputMessage="1" showErrorMessage="1" sqref="E29">
      <formula1>"Male, Female"</formula1>
    </dataValidation>
    <dataValidation type="list" showInputMessage="1" showErrorMessage="1" sqref="B29:C29">
      <formula1>"American, British"</formula1>
    </dataValidation>
    <dataValidation type="whole" operator="greaterThanOrEqual" allowBlank="1" showInputMessage="1" showErrorMessage="1" promptTitle="Years" prompt="Enter the number of years" errorTitle="Input Error" error="You must input a number of whole years.&#10;Please try again." sqref="N9">
      <formula1>0</formula1>
    </dataValidation>
    <dataValidation type="whole" operator="greaterThanOrEqual" allowBlank="1" showInputMessage="1" showErrorMessage="1" promptTitle="Weeks" prompt="Enter the number of weeks" errorTitle="Input Error" error="You must input a number of whole weeks.&#10;Please try again." sqref="H9">
      <formula1>0</formula1>
    </dataValidation>
    <dataValidation type="whole" operator="greaterThanOrEqual" showInputMessage="1" showErrorMessage="1" promptTitle="Days" prompt="Enter the number of days" errorTitle="Input Error" error="You must input a number of whole days.&#10;Please try again." sqref="E9">
      <formula1>0</formula1>
    </dataValidation>
    <dataValidation type="whole" operator="greaterThanOrEqual" allowBlank="1" showInputMessage="1" showErrorMessage="1" promptTitle="Months" prompt="Enter the number of months" errorTitle="Input Error" error="You must input a number of whole months.&#10;Please try again." sqref="K9">
      <formula1>0</formula1>
    </dataValidation>
    <dataValidation type="date" operator="greaterThan" showInputMessage="1" showErrorMessage="1" promptTitle="Date Entry" prompt="Enter a date.&#10;The date must NOT be before the 1901." errorTitle="Invalid Date" error="The data you entered does not appear to be a valid date, please try again." sqref="B5:E5">
      <formula1>366</formula1>
    </dataValidation>
    <dataValidation type="list" allowBlank="1" showInputMessage="1" showErrorMessage="1" promptTitle="Add or Subtract Days" prompt="Chose from the drop-down list" errorTitle="Input Error" error="Choose from the drop-down list" sqref="B9">
      <formula1>"Add, Subtract"</formula1>
    </dataValidation>
    <dataValidation type="date" operator="greaterThan" allowBlank="1" showInputMessage="1" showErrorMessage="1" promptTitle="Date Entry" prompt="Enter a date.&#10;The date must NOT be before 1901" errorTitle="Invalid Date" error="The data you entered does not appear to be a valid date, please try again." sqref="G5:J5">
      <formula1>11323</formula1>
    </dataValidation>
  </dataValidations>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Data"/>
  <dimension ref="A1:R81"/>
  <sheetViews>
    <sheetView zoomScalePageLayoutView="0" workbookViewId="0" topLeftCell="A1">
      <selection activeCell="K24" sqref="K24"/>
    </sheetView>
  </sheetViews>
  <sheetFormatPr defaultColWidth="9.140625" defaultRowHeight="12.75"/>
  <cols>
    <col min="1" max="1" width="25.8515625" style="0" customWidth="1"/>
    <col min="2" max="2" width="14.7109375" style="0" bestFit="1" customWidth="1"/>
    <col min="3" max="3" width="24.140625" style="0" bestFit="1" customWidth="1"/>
    <col min="4" max="4" width="24.00390625" style="0" bestFit="1" customWidth="1"/>
    <col min="5" max="5" width="21.7109375" style="0" bestFit="1" customWidth="1"/>
    <col min="6" max="6" width="23.421875" style="0" bestFit="1" customWidth="1"/>
    <col min="7" max="8" width="29.7109375" style="0" customWidth="1"/>
    <col min="9" max="9" width="20.28125" style="0" bestFit="1" customWidth="1"/>
    <col min="10" max="10" width="12.57421875" style="0" bestFit="1" customWidth="1"/>
    <col min="11" max="11" width="10.140625" style="0" bestFit="1" customWidth="1"/>
    <col min="13" max="13" width="15.00390625" style="0" bestFit="1" customWidth="1"/>
    <col min="18" max="18" width="27.00390625" style="0" bestFit="1" customWidth="1"/>
  </cols>
  <sheetData>
    <row r="1" spans="1:18" ht="12.75">
      <c r="A1" t="s">
        <v>94</v>
      </c>
      <c r="I1" t="s">
        <v>253</v>
      </c>
      <c r="J1" t="s">
        <v>209</v>
      </c>
      <c r="K1" t="s">
        <v>210</v>
      </c>
      <c r="M1" t="s">
        <v>316</v>
      </c>
      <c r="O1" t="s">
        <v>346</v>
      </c>
      <c r="R1" t="s">
        <v>359</v>
      </c>
    </row>
    <row r="2" spans="1:13" s="54" customFormat="1" ht="15.75">
      <c r="A2" s="53" t="s">
        <v>93</v>
      </c>
      <c r="I2" s="81" t="s">
        <v>257</v>
      </c>
      <c r="J2" t="s">
        <v>202</v>
      </c>
      <c r="K2" s="71">
        <v>18327</v>
      </c>
      <c r="M2"/>
    </row>
    <row r="3" spans="9:18" ht="12.75">
      <c r="I3" t="s">
        <v>258</v>
      </c>
      <c r="J3" t="s">
        <v>1</v>
      </c>
      <c r="K3" s="71">
        <v>21399</v>
      </c>
      <c r="M3" s="103" t="s">
        <v>317</v>
      </c>
      <c r="O3" t="s">
        <v>362</v>
      </c>
      <c r="R3" t="s">
        <v>360</v>
      </c>
    </row>
    <row r="4" spans="9:18" ht="12.75">
      <c r="I4" t="s">
        <v>259</v>
      </c>
      <c r="M4" s="104" t="s">
        <v>96</v>
      </c>
      <c r="O4">
        <v>10</v>
      </c>
      <c r="R4">
        <v>12</v>
      </c>
    </row>
    <row r="5" spans="1:18" ht="12.75">
      <c r="A5" s="1" t="s">
        <v>62</v>
      </c>
      <c r="B5" s="1" t="s">
        <v>60</v>
      </c>
      <c r="C5" s="1" t="s">
        <v>77</v>
      </c>
      <c r="D5" s="1" t="s">
        <v>81</v>
      </c>
      <c r="E5" s="1" t="s">
        <v>78</v>
      </c>
      <c r="G5" s="1" t="s">
        <v>79</v>
      </c>
      <c r="H5" s="1" t="s">
        <v>80</v>
      </c>
      <c r="M5" s="105" t="s">
        <v>95</v>
      </c>
      <c r="O5" t="s">
        <v>363</v>
      </c>
      <c r="R5" t="s">
        <v>377</v>
      </c>
    </row>
    <row r="6" spans="1:18" ht="12.75">
      <c r="A6" t="s">
        <v>38</v>
      </c>
      <c r="B6" t="s">
        <v>45</v>
      </c>
      <c r="C6">
        <v>31</v>
      </c>
      <c r="D6">
        <f>WEEKDAY(DATE(userYear,1,1),2)</f>
        <v>3</v>
      </c>
      <c r="E6" t="str">
        <f aca="true" t="shared" si="0" ref="E6:E17">INDEX(dayNames,D6)</f>
        <v>Wednesday</v>
      </c>
      <c r="F6" s="1" t="s">
        <v>115</v>
      </c>
      <c r="G6" s="31">
        <f ca="1">TODAY()</f>
        <v>40576</v>
      </c>
      <c r="H6" s="31">
        <f>DATE(userYear,userMonthIndex,userDayth)</f>
        <v>41710</v>
      </c>
      <c r="I6" s="82" t="s">
        <v>254</v>
      </c>
      <c r="M6" s="104" t="s">
        <v>324</v>
      </c>
      <c r="O6">
        <v>10</v>
      </c>
      <c r="R6">
        <v>12</v>
      </c>
    </row>
    <row r="7" spans="1:18" ht="12.75">
      <c r="A7" t="s">
        <v>39</v>
      </c>
      <c r="B7" s="17" t="s">
        <v>46</v>
      </c>
      <c r="C7">
        <f>DAY(DATE(userYear,2+1,1)-1)</f>
        <v>28</v>
      </c>
      <c r="D7">
        <f>WEEKDAY(DATE(userYear,2,1),2)</f>
        <v>6</v>
      </c>
      <c r="E7" t="str">
        <f t="shared" si="0"/>
        <v>Saturday</v>
      </c>
      <c r="F7" s="1" t="s">
        <v>116</v>
      </c>
      <c r="G7">
        <f>WEEKDAY(currentDate,2)</f>
        <v>3</v>
      </c>
      <c r="H7">
        <f>WEEKDAY(userDate,2)</f>
        <v>3</v>
      </c>
      <c r="I7" s="82" t="s">
        <v>255</v>
      </c>
      <c r="M7" s="105" t="s">
        <v>97</v>
      </c>
      <c r="O7" t="s">
        <v>369</v>
      </c>
      <c r="R7" t="s">
        <v>375</v>
      </c>
    </row>
    <row r="8" spans="1:18" ht="12.75">
      <c r="A8" t="s">
        <v>40</v>
      </c>
      <c r="B8" s="17" t="s">
        <v>47</v>
      </c>
      <c r="C8">
        <v>31</v>
      </c>
      <c r="D8">
        <f>WEEKDAY(DATE(userYear,3,1),2)</f>
        <v>6</v>
      </c>
      <c r="E8" t="str">
        <f t="shared" si="0"/>
        <v>Saturday</v>
      </c>
      <c r="F8" s="1" t="s">
        <v>117</v>
      </c>
      <c r="G8" t="str">
        <f>INDEX(dayNames,currentDayIndex)</f>
        <v>Wednesday</v>
      </c>
      <c r="H8" t="str">
        <f>INDEX(dayNames,userDayIndex)</f>
        <v>Wednesday</v>
      </c>
      <c r="I8" s="82" t="s">
        <v>256</v>
      </c>
      <c r="M8" t="s">
        <v>325</v>
      </c>
      <c r="O8" t="s">
        <v>154</v>
      </c>
      <c r="R8" t="s">
        <v>154</v>
      </c>
    </row>
    <row r="9" spans="1:18" ht="12.75">
      <c r="A9" t="s">
        <v>41</v>
      </c>
      <c r="B9" s="17" t="s">
        <v>48</v>
      </c>
      <c r="C9">
        <v>30</v>
      </c>
      <c r="D9">
        <f>WEEKDAY(DATE(userYear,4,1),2)</f>
        <v>2</v>
      </c>
      <c r="E9" t="str">
        <f t="shared" si="0"/>
        <v>Tuesday</v>
      </c>
      <c r="F9" s="1" t="s">
        <v>118</v>
      </c>
      <c r="G9">
        <f>DAY(currentDate)</f>
        <v>2</v>
      </c>
      <c r="H9">
        <v>12</v>
      </c>
      <c r="M9" s="104" t="s">
        <v>98</v>
      </c>
      <c r="O9" t="s">
        <v>368</v>
      </c>
      <c r="R9" t="s">
        <v>374</v>
      </c>
    </row>
    <row r="10" spans="1:18" ht="12.75">
      <c r="A10" t="s">
        <v>42</v>
      </c>
      <c r="B10" s="17" t="s">
        <v>49</v>
      </c>
      <c r="C10">
        <v>31</v>
      </c>
      <c r="D10">
        <f>WEEKDAY(DATE(userYear,5,1),2)</f>
        <v>4</v>
      </c>
      <c r="E10" t="str">
        <f t="shared" si="0"/>
        <v>Thursday</v>
      </c>
      <c r="F10" s="1" t="s">
        <v>120</v>
      </c>
      <c r="G10">
        <f>MONTH(currentDate)</f>
        <v>2</v>
      </c>
      <c r="H10">
        <v>3</v>
      </c>
      <c r="M10" s="104" t="s">
        <v>99</v>
      </c>
      <c r="O10">
        <v>2</v>
      </c>
      <c r="R10">
        <v>2</v>
      </c>
    </row>
    <row r="11" spans="1:18" ht="12.75">
      <c r="A11" t="s">
        <v>43</v>
      </c>
      <c r="B11" s="17" t="s">
        <v>50</v>
      </c>
      <c r="C11">
        <v>30</v>
      </c>
      <c r="D11">
        <f>WEEKDAY(DATE(userYear,6,1),2)</f>
        <v>7</v>
      </c>
      <c r="E11" t="str">
        <f t="shared" si="0"/>
        <v>Sunday</v>
      </c>
      <c r="F11" s="1" t="s">
        <v>119</v>
      </c>
      <c r="G11" t="str">
        <f>INDEX(monthNames,currentMonthIndex)</f>
        <v>February</v>
      </c>
      <c r="H11" t="str">
        <f>INDEX(monthNames,userMonthIndex)</f>
        <v>March</v>
      </c>
      <c r="M11" s="104" t="s">
        <v>100</v>
      </c>
      <c r="O11" t="s">
        <v>365</v>
      </c>
      <c r="R11" t="s">
        <v>364</v>
      </c>
    </row>
    <row r="12" spans="1:18" ht="12.75">
      <c r="A12" t="s">
        <v>44</v>
      </c>
      <c r="B12" s="17" t="s">
        <v>51</v>
      </c>
      <c r="C12">
        <v>31</v>
      </c>
      <c r="D12">
        <f>WEEKDAY(DATE(userYear,7,1),2)</f>
        <v>2</v>
      </c>
      <c r="E12" t="str">
        <f t="shared" si="0"/>
        <v>Tuesday</v>
      </c>
      <c r="F12" s="1" t="s">
        <v>121</v>
      </c>
      <c r="G12">
        <f>YEAR(currentDate)</f>
        <v>2011</v>
      </c>
      <c r="H12">
        <v>2014</v>
      </c>
      <c r="M12" s="104" t="s">
        <v>101</v>
      </c>
      <c r="O12" t="str">
        <f>ConFirstCol&amp;ConFirstRow</f>
        <v>A2</v>
      </c>
      <c r="R12" t="s">
        <v>361</v>
      </c>
    </row>
    <row r="13" spans="2:18" ht="12.75">
      <c r="B13" s="17" t="s">
        <v>53</v>
      </c>
      <c r="C13">
        <v>31</v>
      </c>
      <c r="D13">
        <f>WEEKDAY(DATE(userYear,8,1),2)</f>
        <v>5</v>
      </c>
      <c r="E13" t="str">
        <f t="shared" si="0"/>
        <v>Friday</v>
      </c>
      <c r="F13" s="1" t="s">
        <v>123</v>
      </c>
      <c r="G13">
        <f>WEEKDAY(DATE(currentYear,currentMonthIndex,1),2)</f>
        <v>2</v>
      </c>
      <c r="H13">
        <f>WEEKDAY(DATE(userYear,userMonthIndex,1),2)</f>
        <v>6</v>
      </c>
      <c r="M13" s="106" t="s">
        <v>102</v>
      </c>
      <c r="O13" t="s">
        <v>366</v>
      </c>
      <c r="R13" t="s">
        <v>376</v>
      </c>
    </row>
    <row r="14" spans="2:18" ht="12.75">
      <c r="B14" s="17" t="s">
        <v>52</v>
      </c>
      <c r="C14">
        <v>30</v>
      </c>
      <c r="D14">
        <f>WEEKDAY(DATE(userYear,9,1),2)</f>
        <v>1</v>
      </c>
      <c r="E14" t="str">
        <f t="shared" si="0"/>
        <v>Monday</v>
      </c>
      <c r="F14" s="1" t="s">
        <v>124</v>
      </c>
      <c r="G14" t="str">
        <f>(INDEX(dayNames,currentmonthStartIndex))</f>
        <v>Tuesday</v>
      </c>
      <c r="H14" t="str">
        <f>(INDEX(dayNames,userMonthStartIndex))</f>
        <v>Saturday</v>
      </c>
      <c r="M14" s="107" t="s">
        <v>107</v>
      </c>
      <c r="O14">
        <f>CODE(ConLastCol)-CODE(ConFirstCol)+1</f>
        <v>18</v>
      </c>
      <c r="R14">
        <f>CODE(AptsLastCol)-CODE(AptsFirstCol)+1</f>
        <v>6</v>
      </c>
    </row>
    <row r="15" spans="2:18" ht="12.75">
      <c r="B15" s="17" t="s">
        <v>54</v>
      </c>
      <c r="C15">
        <v>31</v>
      </c>
      <c r="D15">
        <f>WEEKDAY(DATE(userYear,10,1),2)</f>
        <v>3</v>
      </c>
      <c r="E15" t="str">
        <f t="shared" si="0"/>
        <v>Wednesday</v>
      </c>
      <c r="F15" s="1" t="s">
        <v>125</v>
      </c>
      <c r="G15">
        <f>DAY(DATE(currentYear,currentMonthIndex+1,1)-1)</f>
        <v>28</v>
      </c>
      <c r="H15">
        <f>DAY(DATE(userYear,userMonthIndex+1,1)-1)</f>
        <v>31</v>
      </c>
      <c r="M15" s="107" t="s">
        <v>108</v>
      </c>
      <c r="O15" t="s">
        <v>370</v>
      </c>
      <c r="R15" t="s">
        <v>378</v>
      </c>
    </row>
    <row r="16" spans="2:18" ht="12.75">
      <c r="B16" s="17" t="s">
        <v>55</v>
      </c>
      <c r="C16">
        <v>30</v>
      </c>
      <c r="D16">
        <f>WEEKDAY(DATE(userYear,11,1),2)</f>
        <v>6</v>
      </c>
      <c r="E16" t="str">
        <f t="shared" si="0"/>
        <v>Saturday</v>
      </c>
      <c r="F16" s="1" t="s">
        <v>122</v>
      </c>
      <c r="G16">
        <f>WEEKNUM(currentDate,2)</f>
        <v>6</v>
      </c>
      <c r="H16">
        <f>WEEKNUM(userDate,2)</f>
        <v>11</v>
      </c>
      <c r="M16" s="107" t="s">
        <v>109</v>
      </c>
      <c r="O16" t="s">
        <v>371</v>
      </c>
      <c r="R16" t="s">
        <v>75</v>
      </c>
    </row>
    <row r="17" spans="2:18" ht="12.75">
      <c r="B17" s="17" t="s">
        <v>56</v>
      </c>
      <c r="C17">
        <v>31</v>
      </c>
      <c r="D17">
        <f>WEEKDAY(DATE(userYear,12,1),2)</f>
        <v>1</v>
      </c>
      <c r="E17" t="str">
        <f t="shared" si="0"/>
        <v>Monday</v>
      </c>
      <c r="F17" s="1" t="s">
        <v>126</v>
      </c>
      <c r="G17" s="31">
        <f>currentDate-currentDayIndex+1</f>
        <v>40574</v>
      </c>
      <c r="H17" s="31">
        <f>userDate-userDayIndex+1</f>
        <v>41708</v>
      </c>
      <c r="M17" s="104" t="s">
        <v>103</v>
      </c>
      <c r="O17" t="s">
        <v>372</v>
      </c>
      <c r="R17" t="s">
        <v>379</v>
      </c>
    </row>
    <row r="18" spans="2:18" ht="12.75">
      <c r="B18" s="17"/>
      <c r="F18" s="1" t="s">
        <v>132</v>
      </c>
      <c r="H18" s="31">
        <v>41710</v>
      </c>
      <c r="M18" s="104" t="s">
        <v>104</v>
      </c>
      <c r="O18">
        <f>ConFirstRow+ConDataRows-1</f>
        <v>11</v>
      </c>
      <c r="R18">
        <f>AptsDataRows+AptsFirstRow-1</f>
        <v>13</v>
      </c>
    </row>
    <row r="19" spans="1:18" ht="12.75">
      <c r="A19" s="1" t="s">
        <v>87</v>
      </c>
      <c r="B19" s="17"/>
      <c r="F19" s="1" t="s">
        <v>133</v>
      </c>
      <c r="H19">
        <f>DAY(userNewDate)</f>
        <v>12</v>
      </c>
      <c r="M19" s="104" t="s">
        <v>110</v>
      </c>
      <c r="O19" t="s">
        <v>367</v>
      </c>
      <c r="R19" t="s">
        <v>380</v>
      </c>
    </row>
    <row r="20" spans="3:18" ht="12.75">
      <c r="C20" s="17"/>
      <c r="F20" s="1" t="s">
        <v>134</v>
      </c>
      <c r="H20">
        <f>MONTH(userNewDate)</f>
        <v>3</v>
      </c>
      <c r="M20" s="104" t="s">
        <v>105</v>
      </c>
      <c r="O20" t="str">
        <f>ConLastCol&amp;ConLastRow</f>
        <v>R11</v>
      </c>
      <c r="R20" t="str">
        <f>AptsLastCol&amp;AptsLastRow</f>
        <v>F13</v>
      </c>
    </row>
    <row r="21" spans="1:18" ht="12.75">
      <c r="A21" t="s">
        <v>57</v>
      </c>
      <c r="C21" s="17"/>
      <c r="F21" s="1" t="s">
        <v>135</v>
      </c>
      <c r="H21">
        <f>YEAR(userNewDate)</f>
        <v>2014</v>
      </c>
      <c r="M21" s="108" t="s">
        <v>106</v>
      </c>
      <c r="O21" t="s">
        <v>373</v>
      </c>
      <c r="R21" t="s">
        <v>381</v>
      </c>
    </row>
    <row r="22" spans="1:18" ht="12.75">
      <c r="A22" t="s">
        <v>88</v>
      </c>
      <c r="C22" s="17"/>
      <c r="O22" t="str">
        <f>ConFirstCell&amp;":"&amp;ConLastCell</f>
        <v>A2:R11</v>
      </c>
      <c r="R22" s="150" t="str">
        <f>AptsFirstCell&amp;":"&amp;AptsLastCell</f>
        <v>A2:F13</v>
      </c>
    </row>
    <row r="23" spans="15:18" ht="12.75">
      <c r="O23" t="s">
        <v>384</v>
      </c>
      <c r="R23" t="s">
        <v>385</v>
      </c>
    </row>
    <row r="24" spans="1:18" ht="12.75">
      <c r="A24" t="s">
        <v>64</v>
      </c>
      <c r="O24">
        <v>7</v>
      </c>
      <c r="R24">
        <v>7</v>
      </c>
    </row>
    <row r="25" spans="1:18" ht="12.75">
      <c r="A25" t="s">
        <v>61</v>
      </c>
      <c r="O25" t="s">
        <v>382</v>
      </c>
      <c r="R25" t="s">
        <v>386</v>
      </c>
    </row>
    <row r="26" spans="15:18" ht="12.75">
      <c r="O26" t="str">
        <f>"A"&amp;ConPasteRow</f>
        <v>A7</v>
      </c>
      <c r="R26" t="str">
        <f>"A"&amp;AptsPasteRow</f>
        <v>A7</v>
      </c>
    </row>
    <row r="27" spans="1:18" ht="12.75">
      <c r="A27" t="s">
        <v>114</v>
      </c>
      <c r="O27" t="s">
        <v>397</v>
      </c>
      <c r="R27" t="s">
        <v>398</v>
      </c>
    </row>
    <row r="28" spans="1:18" ht="12.75">
      <c r="A28" t="s">
        <v>127</v>
      </c>
      <c r="O28" t="str">
        <f>ConLastCol&amp;ConRowsPasted+ConPasteRow-1</f>
        <v>R16</v>
      </c>
      <c r="R28" t="str">
        <f>AptsLastCol&amp;AptsRowsPasted+AptsPasteRow-1</f>
        <v>F18</v>
      </c>
    </row>
    <row r="29" spans="15:18" ht="12.75">
      <c r="O29" t="s">
        <v>383</v>
      </c>
      <c r="R29" t="s">
        <v>387</v>
      </c>
    </row>
    <row r="30" spans="1:18" ht="12.75">
      <c r="A30" s="1" t="s">
        <v>193</v>
      </c>
      <c r="O30" t="str">
        <f>ConPasteCell&amp;":"&amp;ConLastPasted</f>
        <v>A7:R16</v>
      </c>
      <c r="R30" t="str">
        <f>AptsPasteCell&amp;":"&amp;AptsLastPasted</f>
        <v>A7:F18</v>
      </c>
    </row>
    <row r="31" ht="12.75">
      <c r="R31" t="s">
        <v>399</v>
      </c>
    </row>
    <row r="32" spans="1:18" ht="12.75">
      <c r="A32" t="s">
        <v>200</v>
      </c>
      <c r="B32" t="str">
        <f>[0]!BioNewName</f>
        <v>Ray Thomas</v>
      </c>
      <c r="O32" s="31"/>
      <c r="R32" s="31">
        <v>38209</v>
      </c>
    </row>
    <row r="33" spans="1:18" ht="12.75">
      <c r="A33" t="s">
        <v>201</v>
      </c>
      <c r="B33" s="76">
        <f>VLOOKUP(BioCurrentName,$J:$K,2,FALSE)</f>
        <v>21399</v>
      </c>
      <c r="I33" s="71"/>
      <c r="R33" t="s">
        <v>400</v>
      </c>
    </row>
    <row r="34" spans="9:18" ht="12.75">
      <c r="I34" s="71"/>
      <c r="O34" s="31"/>
      <c r="R34" s="31">
        <v>38219</v>
      </c>
    </row>
    <row r="35" ht="12.75">
      <c r="B35" t="s">
        <v>194</v>
      </c>
    </row>
    <row r="36" spans="1:6" ht="12.75">
      <c r="A36" t="s">
        <v>195</v>
      </c>
      <c r="B36" t="s">
        <v>196</v>
      </c>
      <c r="C36" t="s">
        <v>115</v>
      </c>
      <c r="D36" t="s">
        <v>197</v>
      </c>
      <c r="E36" t="s">
        <v>198</v>
      </c>
      <c r="F36" t="s">
        <v>199</v>
      </c>
    </row>
    <row r="37" spans="1:6" ht="12.75">
      <c r="A37">
        <v>-14</v>
      </c>
      <c r="B37" s="71">
        <f aca="true" t="shared" si="1" ref="B37:B81">currentDate+A37-$B$33</f>
        <v>19163</v>
      </c>
      <c r="C37" s="71">
        <f aca="true" t="shared" si="2" ref="C37:C81">currentDate+A37</f>
        <v>40562</v>
      </c>
      <c r="D37">
        <f>SIN(MOD($B37,23)*2*PI()/23)</f>
        <v>0.8878852184023752</v>
      </c>
      <c r="E37">
        <f>SIN(MOD($B37,28)*2*PI()/28)</f>
        <v>0.6234898018587339</v>
      </c>
      <c r="F37">
        <f>SIN(MOD($B37,33)*2*PI()/33)</f>
        <v>-0.9450008187146683</v>
      </c>
    </row>
    <row r="38" spans="1:6" ht="12.75">
      <c r="A38">
        <v>-13</v>
      </c>
      <c r="B38" s="71">
        <f t="shared" si="1"/>
        <v>19164</v>
      </c>
      <c r="C38" s="71">
        <f t="shared" si="2"/>
        <v>40563</v>
      </c>
      <c r="D38">
        <f aca="true" t="shared" si="3" ref="D38:D81">SIN(MOD($B38,23)*2*PI()/23)</f>
        <v>0.9790840876823229</v>
      </c>
      <c r="E38">
        <f aca="true" t="shared" si="4" ref="E38:E81">SIN(MOD($B38,28)*2*PI()/28)</f>
        <v>0.43388373911755823</v>
      </c>
      <c r="F38">
        <f aca="true" t="shared" si="5" ref="F38:F81">SIN(MOD($B38,33)*2*PI()/33)</f>
        <v>-0.9898214418809327</v>
      </c>
    </row>
    <row r="39" spans="1:6" ht="12.75">
      <c r="A39">
        <v>-12</v>
      </c>
      <c r="B39" s="71">
        <f t="shared" si="1"/>
        <v>19165</v>
      </c>
      <c r="C39" s="71">
        <f t="shared" si="2"/>
        <v>40564</v>
      </c>
      <c r="D39">
        <f t="shared" si="3"/>
        <v>0.9976687691905392</v>
      </c>
      <c r="E39">
        <f t="shared" si="4"/>
        <v>0.2225209339563141</v>
      </c>
      <c r="F39">
        <f t="shared" si="5"/>
        <v>-0.998867339183008</v>
      </c>
    </row>
    <row r="40" spans="1:6" ht="12.75">
      <c r="A40">
        <v>-11</v>
      </c>
      <c r="B40" s="71">
        <f t="shared" si="1"/>
        <v>19166</v>
      </c>
      <c r="C40" s="71">
        <f t="shared" si="2"/>
        <v>40565</v>
      </c>
      <c r="D40">
        <f t="shared" si="3"/>
        <v>0.9422609221188205</v>
      </c>
      <c r="E40">
        <f t="shared" si="4"/>
        <v>1.22514845490862E-16</v>
      </c>
      <c r="F40">
        <f t="shared" si="5"/>
        <v>-0.9718115683235417</v>
      </c>
    </row>
    <row r="41" spans="1:6" ht="12.75">
      <c r="A41">
        <v>-10</v>
      </c>
      <c r="B41" s="71">
        <f t="shared" si="1"/>
        <v>19167</v>
      </c>
      <c r="C41" s="71">
        <f t="shared" si="2"/>
        <v>40566</v>
      </c>
      <c r="D41">
        <f t="shared" si="3"/>
        <v>0.8169698930104421</v>
      </c>
      <c r="E41">
        <f t="shared" si="4"/>
        <v>-0.22252093395631384</v>
      </c>
      <c r="F41">
        <f t="shared" si="5"/>
        <v>-0.9096319953545186</v>
      </c>
    </row>
    <row r="42" spans="1:6" ht="12.75">
      <c r="A42">
        <v>-9</v>
      </c>
      <c r="B42" s="71">
        <f t="shared" si="1"/>
        <v>19168</v>
      </c>
      <c r="C42" s="71">
        <f t="shared" si="2"/>
        <v>40567</v>
      </c>
      <c r="D42">
        <f t="shared" si="3"/>
        <v>0.631087944326053</v>
      </c>
      <c r="E42">
        <f t="shared" si="4"/>
        <v>-0.433883739117558</v>
      </c>
      <c r="F42">
        <f t="shared" si="5"/>
        <v>-0.8145759520503358</v>
      </c>
    </row>
    <row r="43" spans="1:6" ht="12.75">
      <c r="A43">
        <v>-8</v>
      </c>
      <c r="B43" s="71">
        <f t="shared" si="1"/>
        <v>19169</v>
      </c>
      <c r="C43" s="71">
        <f t="shared" si="2"/>
        <v>40568</v>
      </c>
      <c r="D43">
        <f t="shared" si="3"/>
        <v>0.3984010898462414</v>
      </c>
      <c r="E43">
        <f t="shared" si="4"/>
        <v>-0.6234898018587338</v>
      </c>
      <c r="F43">
        <f t="shared" si="5"/>
        <v>-0.690079011482112</v>
      </c>
    </row>
    <row r="44" spans="1:6" ht="12.75">
      <c r="A44">
        <v>-7</v>
      </c>
      <c r="B44" s="71">
        <f t="shared" si="1"/>
        <v>19170</v>
      </c>
      <c r="C44" s="71">
        <f t="shared" si="2"/>
        <v>40569</v>
      </c>
      <c r="D44">
        <f t="shared" si="3"/>
        <v>0.1361666490962471</v>
      </c>
      <c r="E44">
        <f t="shared" si="4"/>
        <v>-0.7818314824680297</v>
      </c>
      <c r="F44">
        <f t="shared" si="5"/>
        <v>-0.5406408174555982</v>
      </c>
    </row>
    <row r="45" spans="1:6" ht="12.75">
      <c r="A45">
        <v>-6</v>
      </c>
      <c r="B45" s="71">
        <f t="shared" si="1"/>
        <v>19171</v>
      </c>
      <c r="C45" s="71">
        <f t="shared" si="2"/>
        <v>40570</v>
      </c>
      <c r="D45">
        <f t="shared" si="3"/>
        <v>-0.1361666490962464</v>
      </c>
      <c r="E45">
        <f t="shared" si="4"/>
        <v>-0.900968867902419</v>
      </c>
      <c r="F45">
        <f t="shared" si="5"/>
        <v>-0.3716624556603281</v>
      </c>
    </row>
    <row r="46" spans="1:6" ht="12.75">
      <c r="A46">
        <v>-5</v>
      </c>
      <c r="B46" s="71">
        <f t="shared" si="1"/>
        <v>19172</v>
      </c>
      <c r="C46" s="71">
        <f t="shared" si="2"/>
        <v>40571</v>
      </c>
      <c r="D46">
        <f t="shared" si="3"/>
        <v>-0.39840108984624156</v>
      </c>
      <c r="E46">
        <f t="shared" si="4"/>
        <v>-0.9749279121818236</v>
      </c>
      <c r="F46">
        <f t="shared" si="5"/>
        <v>-0.18925124436041063</v>
      </c>
    </row>
    <row r="47" spans="1:6" ht="12.75">
      <c r="A47">
        <v>-4</v>
      </c>
      <c r="B47" s="71">
        <f t="shared" si="1"/>
        <v>19173</v>
      </c>
      <c r="C47" s="71">
        <f t="shared" si="2"/>
        <v>40572</v>
      </c>
      <c r="D47">
        <f t="shared" si="3"/>
        <v>-0.6310879443260528</v>
      </c>
      <c r="E47">
        <f t="shared" si="4"/>
        <v>-1</v>
      </c>
      <c r="F47">
        <f t="shared" si="5"/>
        <v>0</v>
      </c>
    </row>
    <row r="48" spans="1:6" ht="12.75">
      <c r="A48">
        <v>-3</v>
      </c>
      <c r="B48" s="71">
        <f t="shared" si="1"/>
        <v>19174</v>
      </c>
      <c r="C48" s="71">
        <f t="shared" si="2"/>
        <v>40573</v>
      </c>
      <c r="D48">
        <f t="shared" si="3"/>
        <v>-0.816969893010442</v>
      </c>
      <c r="E48">
        <f t="shared" si="4"/>
        <v>-0.9749279121818238</v>
      </c>
      <c r="F48">
        <f t="shared" si="5"/>
        <v>0.1892512443604102</v>
      </c>
    </row>
    <row r="49" spans="1:6" ht="12.75">
      <c r="A49">
        <v>-2</v>
      </c>
      <c r="B49" s="71">
        <f t="shared" si="1"/>
        <v>19175</v>
      </c>
      <c r="C49" s="71">
        <f t="shared" si="2"/>
        <v>40574</v>
      </c>
      <c r="D49">
        <f t="shared" si="3"/>
        <v>-0.9422609221188204</v>
      </c>
      <c r="E49">
        <f t="shared" si="4"/>
        <v>-0.9009688679024193</v>
      </c>
      <c r="F49">
        <f t="shared" si="5"/>
        <v>0.3716624556603275</v>
      </c>
    </row>
    <row r="50" spans="1:6" ht="12.75">
      <c r="A50">
        <v>-1</v>
      </c>
      <c r="B50" s="71">
        <f t="shared" si="1"/>
        <v>19176</v>
      </c>
      <c r="C50" s="71">
        <f t="shared" si="2"/>
        <v>40575</v>
      </c>
      <c r="D50">
        <f t="shared" si="3"/>
        <v>-0.9976687691905393</v>
      </c>
      <c r="E50">
        <f t="shared" si="4"/>
        <v>-0.7818314824680299</v>
      </c>
      <c r="F50">
        <f t="shared" si="5"/>
        <v>0.5406408174555976</v>
      </c>
    </row>
    <row r="51" spans="1:6" ht="12.75">
      <c r="A51">
        <v>0</v>
      </c>
      <c r="B51" s="71">
        <f t="shared" si="1"/>
        <v>19177</v>
      </c>
      <c r="C51" s="71">
        <f t="shared" si="2"/>
        <v>40576</v>
      </c>
      <c r="D51">
        <f t="shared" si="3"/>
        <v>-0.979084087682323</v>
      </c>
      <c r="E51">
        <f t="shared" si="4"/>
        <v>-0.6234898018587337</v>
      </c>
      <c r="F51">
        <f t="shared" si="5"/>
        <v>0.6900790114821119</v>
      </c>
    </row>
    <row r="52" spans="1:6" ht="12.75">
      <c r="A52">
        <v>1</v>
      </c>
      <c r="B52" s="71">
        <f t="shared" si="1"/>
        <v>19178</v>
      </c>
      <c r="C52" s="71">
        <f t="shared" si="2"/>
        <v>40577</v>
      </c>
      <c r="D52">
        <f t="shared" si="3"/>
        <v>-0.8878852184023756</v>
      </c>
      <c r="E52">
        <f t="shared" si="4"/>
        <v>-0.4338837391175575</v>
      </c>
      <c r="F52">
        <f t="shared" si="5"/>
        <v>0.8145759520503357</v>
      </c>
    </row>
    <row r="53" spans="1:6" ht="12.75">
      <c r="A53">
        <v>2</v>
      </c>
      <c r="B53" s="71">
        <f t="shared" si="1"/>
        <v>19179</v>
      </c>
      <c r="C53" s="71">
        <f t="shared" si="2"/>
        <v>40578</v>
      </c>
      <c r="D53">
        <f t="shared" si="3"/>
        <v>-0.730835964278124</v>
      </c>
      <c r="E53">
        <f t="shared" si="4"/>
        <v>-0.22252093395631464</v>
      </c>
      <c r="F53">
        <f t="shared" si="5"/>
        <v>0.9096319953545183</v>
      </c>
    </row>
    <row r="54" spans="1:6" ht="12.75">
      <c r="A54">
        <v>3</v>
      </c>
      <c r="B54" s="71">
        <f t="shared" si="1"/>
        <v>19180</v>
      </c>
      <c r="C54" s="71">
        <f t="shared" si="2"/>
        <v>40579</v>
      </c>
      <c r="D54">
        <f t="shared" si="3"/>
        <v>-0.5195839500354336</v>
      </c>
      <c r="E54">
        <f t="shared" si="4"/>
        <v>0</v>
      </c>
      <c r="F54">
        <f t="shared" si="5"/>
        <v>0.9718115683235417</v>
      </c>
    </row>
    <row r="55" spans="1:6" ht="12.75">
      <c r="A55">
        <v>4</v>
      </c>
      <c r="B55" s="71">
        <f t="shared" si="1"/>
        <v>19181</v>
      </c>
      <c r="C55" s="71">
        <f t="shared" si="2"/>
        <v>40580</v>
      </c>
      <c r="D55">
        <f t="shared" si="3"/>
        <v>-0.2697967711570252</v>
      </c>
      <c r="E55">
        <f t="shared" si="4"/>
        <v>0.2225209339563144</v>
      </c>
      <c r="F55">
        <f t="shared" si="5"/>
        <v>0.998867339183008</v>
      </c>
    </row>
    <row r="56" spans="1:6" ht="12.75">
      <c r="A56">
        <v>5</v>
      </c>
      <c r="B56" s="71">
        <f t="shared" si="1"/>
        <v>19182</v>
      </c>
      <c r="C56" s="71">
        <f t="shared" si="2"/>
        <v>40581</v>
      </c>
      <c r="D56">
        <f t="shared" si="3"/>
        <v>0</v>
      </c>
      <c r="E56">
        <f t="shared" si="4"/>
        <v>0.4338837391175581</v>
      </c>
      <c r="F56">
        <f t="shared" si="5"/>
        <v>0.9898214418809328</v>
      </c>
    </row>
    <row r="57" spans="1:6" ht="12.75">
      <c r="A57">
        <v>6</v>
      </c>
      <c r="B57" s="71">
        <f t="shared" si="1"/>
        <v>19183</v>
      </c>
      <c r="C57" s="71">
        <f t="shared" si="2"/>
        <v>40582</v>
      </c>
      <c r="D57">
        <f t="shared" si="3"/>
        <v>0.2697967711570243</v>
      </c>
      <c r="E57">
        <f t="shared" si="4"/>
        <v>0.6234898018587335</v>
      </c>
      <c r="F57">
        <f t="shared" si="5"/>
        <v>0.9450008187146685</v>
      </c>
    </row>
    <row r="58" spans="1:6" ht="12.75">
      <c r="A58">
        <v>7</v>
      </c>
      <c r="B58" s="71">
        <f t="shared" si="1"/>
        <v>19184</v>
      </c>
      <c r="C58" s="71">
        <f t="shared" si="2"/>
        <v>40583</v>
      </c>
      <c r="D58">
        <f t="shared" si="3"/>
        <v>0.5195839500354336</v>
      </c>
      <c r="E58">
        <f t="shared" si="4"/>
        <v>0.7818314824680298</v>
      </c>
      <c r="F58">
        <f t="shared" si="5"/>
        <v>0.8660254037844387</v>
      </c>
    </row>
    <row r="59" spans="1:6" ht="12.75">
      <c r="A59">
        <v>8</v>
      </c>
      <c r="B59" s="71">
        <f t="shared" si="1"/>
        <v>19185</v>
      </c>
      <c r="C59" s="71">
        <f t="shared" si="2"/>
        <v>40584</v>
      </c>
      <c r="D59">
        <f t="shared" si="3"/>
        <v>0.730835964278124</v>
      </c>
      <c r="E59">
        <f t="shared" si="4"/>
        <v>0.9009688679024191</v>
      </c>
      <c r="F59">
        <f t="shared" si="5"/>
        <v>0.7557495743542583</v>
      </c>
    </row>
    <row r="60" spans="1:6" ht="12.75">
      <c r="A60">
        <v>9</v>
      </c>
      <c r="B60" s="71">
        <f t="shared" si="1"/>
        <v>19186</v>
      </c>
      <c r="C60" s="71">
        <f t="shared" si="2"/>
        <v>40585</v>
      </c>
      <c r="D60">
        <f t="shared" si="3"/>
        <v>0.8878852184023752</v>
      </c>
      <c r="E60">
        <f t="shared" si="4"/>
        <v>0.9749279121818236</v>
      </c>
      <c r="F60">
        <f t="shared" si="5"/>
        <v>0.6181589862206051</v>
      </c>
    </row>
    <row r="61" spans="1:6" ht="12.75">
      <c r="A61">
        <v>10</v>
      </c>
      <c r="B61" s="71">
        <f t="shared" si="1"/>
        <v>19187</v>
      </c>
      <c r="C61" s="71">
        <f t="shared" si="2"/>
        <v>40586</v>
      </c>
      <c r="D61">
        <f t="shared" si="3"/>
        <v>0.9790840876823229</v>
      </c>
      <c r="E61">
        <f t="shared" si="4"/>
        <v>1</v>
      </c>
      <c r="F61">
        <f t="shared" si="5"/>
        <v>0.4582265217274105</v>
      </c>
    </row>
    <row r="62" spans="1:6" ht="12.75">
      <c r="A62">
        <v>11</v>
      </c>
      <c r="B62" s="71">
        <f t="shared" si="1"/>
        <v>19188</v>
      </c>
      <c r="C62" s="71">
        <f t="shared" si="2"/>
        <v>40587</v>
      </c>
      <c r="D62">
        <f t="shared" si="3"/>
        <v>0.9976687691905392</v>
      </c>
      <c r="E62">
        <f t="shared" si="4"/>
        <v>0.9749279121818236</v>
      </c>
      <c r="F62">
        <f t="shared" si="5"/>
        <v>0.28173255684143006</v>
      </c>
    </row>
    <row r="63" spans="1:6" ht="12.75">
      <c r="A63">
        <v>12</v>
      </c>
      <c r="B63" s="71">
        <f t="shared" si="1"/>
        <v>19189</v>
      </c>
      <c r="C63" s="71">
        <f t="shared" si="2"/>
        <v>40588</v>
      </c>
      <c r="D63">
        <f t="shared" si="3"/>
        <v>0.9422609221188205</v>
      </c>
      <c r="E63">
        <f t="shared" si="4"/>
        <v>0.9009688679024191</v>
      </c>
      <c r="F63">
        <f t="shared" si="5"/>
        <v>0.09505604330418288</v>
      </c>
    </row>
    <row r="64" spans="1:6" ht="12.75">
      <c r="A64">
        <v>13</v>
      </c>
      <c r="B64" s="71">
        <f t="shared" si="1"/>
        <v>19190</v>
      </c>
      <c r="C64" s="71">
        <f t="shared" si="2"/>
        <v>40589</v>
      </c>
      <c r="D64">
        <f t="shared" si="3"/>
        <v>0.8169698930104421</v>
      </c>
      <c r="E64">
        <f t="shared" si="4"/>
        <v>0.7818314824680299</v>
      </c>
      <c r="F64">
        <f t="shared" si="5"/>
        <v>-0.09505604330418263</v>
      </c>
    </row>
    <row r="65" spans="1:6" ht="12.75">
      <c r="A65">
        <v>14</v>
      </c>
      <c r="B65" s="71">
        <f t="shared" si="1"/>
        <v>19191</v>
      </c>
      <c r="C65" s="71">
        <f t="shared" si="2"/>
        <v>40590</v>
      </c>
      <c r="D65">
        <f t="shared" si="3"/>
        <v>0.631087944326053</v>
      </c>
      <c r="E65">
        <f t="shared" si="4"/>
        <v>0.6234898018587339</v>
      </c>
      <c r="F65">
        <f t="shared" si="5"/>
        <v>-0.2817325568414294</v>
      </c>
    </row>
    <row r="66" spans="1:6" ht="12.75">
      <c r="A66">
        <v>15</v>
      </c>
      <c r="B66" s="71">
        <f t="shared" si="1"/>
        <v>19192</v>
      </c>
      <c r="C66" s="71">
        <f t="shared" si="2"/>
        <v>40591</v>
      </c>
      <c r="D66">
        <f t="shared" si="3"/>
        <v>0.3984010898462414</v>
      </c>
      <c r="E66">
        <f t="shared" si="4"/>
        <v>0.43388373911755823</v>
      </c>
      <c r="F66">
        <f t="shared" si="5"/>
        <v>-0.4582265217274099</v>
      </c>
    </row>
    <row r="67" spans="1:6" ht="12.75">
      <c r="A67">
        <v>16</v>
      </c>
      <c r="B67" s="71">
        <f t="shared" si="1"/>
        <v>19193</v>
      </c>
      <c r="C67" s="71">
        <f t="shared" si="2"/>
        <v>40592</v>
      </c>
      <c r="D67">
        <f t="shared" si="3"/>
        <v>0.1361666490962471</v>
      </c>
      <c r="E67">
        <f t="shared" si="4"/>
        <v>0.2225209339563141</v>
      </c>
      <c r="F67">
        <f t="shared" si="5"/>
        <v>-0.6181589862206053</v>
      </c>
    </row>
    <row r="68" spans="1:6" ht="12.75">
      <c r="A68">
        <v>17</v>
      </c>
      <c r="B68" s="71">
        <f t="shared" si="1"/>
        <v>19194</v>
      </c>
      <c r="C68" s="71">
        <f t="shared" si="2"/>
        <v>40593</v>
      </c>
      <c r="D68">
        <f t="shared" si="3"/>
        <v>-0.1361666490962464</v>
      </c>
      <c r="E68">
        <f t="shared" si="4"/>
        <v>1.22514845490862E-16</v>
      </c>
      <c r="F68">
        <f t="shared" si="5"/>
        <v>-0.7557495743542585</v>
      </c>
    </row>
    <row r="69" spans="1:6" ht="12.75">
      <c r="A69">
        <v>18</v>
      </c>
      <c r="B69" s="71">
        <f t="shared" si="1"/>
        <v>19195</v>
      </c>
      <c r="C69" s="71">
        <f t="shared" si="2"/>
        <v>40594</v>
      </c>
      <c r="D69">
        <f t="shared" si="3"/>
        <v>-0.39840108984624156</v>
      </c>
      <c r="E69">
        <f t="shared" si="4"/>
        <v>-0.22252093395631384</v>
      </c>
      <c r="F69">
        <f t="shared" si="5"/>
        <v>-0.8660254037844384</v>
      </c>
    </row>
    <row r="70" spans="1:6" ht="12.75">
      <c r="A70">
        <v>19</v>
      </c>
      <c r="B70" s="71">
        <f t="shared" si="1"/>
        <v>19196</v>
      </c>
      <c r="C70" s="71">
        <f t="shared" si="2"/>
        <v>40595</v>
      </c>
      <c r="D70">
        <f t="shared" si="3"/>
        <v>-0.6310879443260528</v>
      </c>
      <c r="E70">
        <f t="shared" si="4"/>
        <v>-0.433883739117558</v>
      </c>
      <c r="F70">
        <f t="shared" si="5"/>
        <v>-0.9450008187146683</v>
      </c>
    </row>
    <row r="71" spans="1:6" ht="12.75">
      <c r="A71">
        <v>20</v>
      </c>
      <c r="B71" s="71">
        <f t="shared" si="1"/>
        <v>19197</v>
      </c>
      <c r="C71" s="71">
        <f t="shared" si="2"/>
        <v>40596</v>
      </c>
      <c r="D71">
        <f t="shared" si="3"/>
        <v>-0.816969893010442</v>
      </c>
      <c r="E71">
        <f t="shared" si="4"/>
        <v>-0.6234898018587338</v>
      </c>
      <c r="F71">
        <f t="shared" si="5"/>
        <v>-0.9898214418809327</v>
      </c>
    </row>
    <row r="72" spans="1:6" ht="12.75">
      <c r="A72">
        <v>21</v>
      </c>
      <c r="B72" s="71">
        <f t="shared" si="1"/>
        <v>19198</v>
      </c>
      <c r="C72" s="71">
        <f t="shared" si="2"/>
        <v>40597</v>
      </c>
      <c r="D72">
        <f t="shared" si="3"/>
        <v>-0.9422609221188204</v>
      </c>
      <c r="E72">
        <f t="shared" si="4"/>
        <v>-0.7818314824680297</v>
      </c>
      <c r="F72">
        <f t="shared" si="5"/>
        <v>-0.998867339183008</v>
      </c>
    </row>
    <row r="73" spans="1:6" ht="12.75">
      <c r="A73">
        <v>22</v>
      </c>
      <c r="B73" s="71">
        <f t="shared" si="1"/>
        <v>19199</v>
      </c>
      <c r="C73" s="71">
        <f t="shared" si="2"/>
        <v>40598</v>
      </c>
      <c r="D73">
        <f t="shared" si="3"/>
        <v>-0.9976687691905393</v>
      </c>
      <c r="E73">
        <f t="shared" si="4"/>
        <v>-0.900968867902419</v>
      </c>
      <c r="F73">
        <f t="shared" si="5"/>
        <v>-0.9718115683235417</v>
      </c>
    </row>
    <row r="74" spans="1:6" ht="12.75">
      <c r="A74">
        <v>23</v>
      </c>
      <c r="B74" s="71">
        <f t="shared" si="1"/>
        <v>19200</v>
      </c>
      <c r="C74" s="71">
        <f t="shared" si="2"/>
        <v>40599</v>
      </c>
      <c r="D74">
        <f t="shared" si="3"/>
        <v>-0.979084087682323</v>
      </c>
      <c r="E74">
        <f t="shared" si="4"/>
        <v>-0.9749279121818236</v>
      </c>
      <c r="F74">
        <f t="shared" si="5"/>
        <v>-0.9096319953545186</v>
      </c>
    </row>
    <row r="75" spans="1:6" ht="12.75">
      <c r="A75">
        <v>24</v>
      </c>
      <c r="B75" s="71">
        <f t="shared" si="1"/>
        <v>19201</v>
      </c>
      <c r="C75" s="71">
        <f t="shared" si="2"/>
        <v>40600</v>
      </c>
      <c r="D75">
        <f t="shared" si="3"/>
        <v>-0.8878852184023756</v>
      </c>
      <c r="E75">
        <f t="shared" si="4"/>
        <v>-1</v>
      </c>
      <c r="F75">
        <f t="shared" si="5"/>
        <v>-0.8145759520503358</v>
      </c>
    </row>
    <row r="76" spans="1:6" ht="12.75">
      <c r="A76">
        <v>25</v>
      </c>
      <c r="B76" s="71">
        <f t="shared" si="1"/>
        <v>19202</v>
      </c>
      <c r="C76" s="71">
        <f t="shared" si="2"/>
        <v>40601</v>
      </c>
      <c r="D76">
        <f t="shared" si="3"/>
        <v>-0.730835964278124</v>
      </c>
      <c r="E76">
        <f t="shared" si="4"/>
        <v>-0.9749279121818238</v>
      </c>
      <c r="F76">
        <f t="shared" si="5"/>
        <v>-0.690079011482112</v>
      </c>
    </row>
    <row r="77" spans="1:6" ht="12.75">
      <c r="A77">
        <v>26</v>
      </c>
      <c r="B77" s="71">
        <f t="shared" si="1"/>
        <v>19203</v>
      </c>
      <c r="C77" s="71">
        <f t="shared" si="2"/>
        <v>40602</v>
      </c>
      <c r="D77">
        <f t="shared" si="3"/>
        <v>-0.5195839500354336</v>
      </c>
      <c r="E77">
        <f t="shared" si="4"/>
        <v>-0.9009688679024193</v>
      </c>
      <c r="F77">
        <f t="shared" si="5"/>
        <v>-0.5406408174555982</v>
      </c>
    </row>
    <row r="78" spans="1:6" ht="12.75">
      <c r="A78">
        <v>27</v>
      </c>
      <c r="B78" s="71">
        <f t="shared" si="1"/>
        <v>19204</v>
      </c>
      <c r="C78" s="71">
        <f t="shared" si="2"/>
        <v>40603</v>
      </c>
      <c r="D78">
        <f t="shared" si="3"/>
        <v>-0.2697967711570252</v>
      </c>
      <c r="E78">
        <f t="shared" si="4"/>
        <v>-0.7818314824680299</v>
      </c>
      <c r="F78">
        <f t="shared" si="5"/>
        <v>-0.3716624556603281</v>
      </c>
    </row>
    <row r="79" spans="1:6" ht="12.75">
      <c r="A79">
        <v>28</v>
      </c>
      <c r="B79" s="71">
        <f t="shared" si="1"/>
        <v>19205</v>
      </c>
      <c r="C79" s="71">
        <f t="shared" si="2"/>
        <v>40604</v>
      </c>
      <c r="D79">
        <f t="shared" si="3"/>
        <v>0</v>
      </c>
      <c r="E79">
        <f t="shared" si="4"/>
        <v>-0.6234898018587337</v>
      </c>
      <c r="F79">
        <f t="shared" si="5"/>
        <v>-0.18925124436041063</v>
      </c>
    </row>
    <row r="80" spans="1:6" ht="12.75">
      <c r="A80">
        <v>29</v>
      </c>
      <c r="B80" s="71">
        <f t="shared" si="1"/>
        <v>19206</v>
      </c>
      <c r="C80" s="71">
        <f t="shared" si="2"/>
        <v>40605</v>
      </c>
      <c r="D80">
        <f t="shared" si="3"/>
        <v>0.2697967711570243</v>
      </c>
      <c r="E80">
        <f t="shared" si="4"/>
        <v>-0.4338837391175575</v>
      </c>
      <c r="F80">
        <f t="shared" si="5"/>
        <v>0</v>
      </c>
    </row>
    <row r="81" spans="1:6" ht="12.75">
      <c r="A81">
        <v>30</v>
      </c>
      <c r="B81" s="71">
        <f t="shared" si="1"/>
        <v>19207</v>
      </c>
      <c r="C81" s="71">
        <f t="shared" si="2"/>
        <v>40606</v>
      </c>
      <c r="D81">
        <f t="shared" si="3"/>
        <v>0.5195839500354336</v>
      </c>
      <c r="E81">
        <f t="shared" si="4"/>
        <v>-0.22252093395631464</v>
      </c>
      <c r="F81">
        <f t="shared" si="5"/>
        <v>0.1892512443604102</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AptsData"/>
  <dimension ref="A1:F13"/>
  <sheetViews>
    <sheetView zoomScalePageLayoutView="0" workbookViewId="0" topLeftCell="A1">
      <selection activeCell="A2" sqref="A2:F13"/>
    </sheetView>
  </sheetViews>
  <sheetFormatPr defaultColWidth="9.140625" defaultRowHeight="12.75"/>
  <cols>
    <col min="1" max="1" width="23.7109375" style="158" bestFit="1" customWidth="1"/>
    <col min="2" max="2" width="9.140625" style="152" customWidth="1"/>
    <col min="3" max="3" width="11.28125" style="158" bestFit="1" customWidth="1"/>
    <col min="4" max="4" width="11.7109375" style="152" bestFit="1" customWidth="1"/>
    <col min="5" max="5" width="118.8515625" style="0" customWidth="1"/>
    <col min="6" max="6" width="9.140625" style="9" customWidth="1"/>
  </cols>
  <sheetData>
    <row r="1" spans="1:6" ht="12.75">
      <c r="A1" s="157" t="s">
        <v>341</v>
      </c>
      <c r="B1" s="72" t="s">
        <v>342</v>
      </c>
      <c r="C1" s="157" t="s">
        <v>343</v>
      </c>
      <c r="D1" s="72" t="s">
        <v>344</v>
      </c>
      <c r="E1" s="1" t="s">
        <v>144</v>
      </c>
      <c r="F1" s="155" t="s">
        <v>345</v>
      </c>
    </row>
    <row r="2" spans="1:5" ht="12.75">
      <c r="A2" s="158">
        <v>38159</v>
      </c>
      <c r="B2" s="152">
        <v>0.6041666666666666</v>
      </c>
      <c r="E2" t="s">
        <v>146</v>
      </c>
    </row>
    <row r="3" spans="1:6" ht="12.75">
      <c r="A3" s="158">
        <v>38173</v>
      </c>
      <c r="B3" s="152">
        <v>0.4583333333333333</v>
      </c>
      <c r="E3" t="s">
        <v>147</v>
      </c>
      <c r="F3" s="153"/>
    </row>
    <row r="4" spans="1:5" ht="12.75">
      <c r="A4" s="158">
        <v>38174</v>
      </c>
      <c r="B4" s="152">
        <v>0.375</v>
      </c>
      <c r="C4" s="158">
        <v>38210</v>
      </c>
      <c r="D4" s="152">
        <v>0.4583333333333333</v>
      </c>
      <c r="E4" t="s">
        <v>391</v>
      </c>
    </row>
    <row r="5" spans="1:6" ht="12.75">
      <c r="A5" s="158">
        <v>38175</v>
      </c>
      <c r="B5" s="152">
        <v>0.25</v>
      </c>
      <c r="D5" s="152">
        <v>0.8333333333333334</v>
      </c>
      <c r="E5" t="s">
        <v>394</v>
      </c>
      <c r="F5" s="154"/>
    </row>
    <row r="6" spans="1:6" ht="12.75">
      <c r="A6" s="158">
        <v>38175</v>
      </c>
      <c r="B6" s="152">
        <v>0.5625</v>
      </c>
      <c r="E6" t="s">
        <v>148</v>
      </c>
      <c r="F6" s="154"/>
    </row>
    <row r="7" spans="1:5" ht="12.75">
      <c r="A7" s="158">
        <v>38177</v>
      </c>
      <c r="E7" t="s">
        <v>149</v>
      </c>
    </row>
    <row r="8" spans="1:5" ht="12.75">
      <c r="A8" s="158">
        <v>38178</v>
      </c>
      <c r="B8" s="152">
        <v>0.625</v>
      </c>
      <c r="E8" t="s">
        <v>150</v>
      </c>
    </row>
    <row r="9" spans="1:6" ht="12.75">
      <c r="A9" s="158">
        <v>38187</v>
      </c>
      <c r="B9" s="152">
        <v>0.4375</v>
      </c>
      <c r="E9" t="s">
        <v>145</v>
      </c>
      <c r="F9" s="7"/>
    </row>
    <row r="10" spans="1:6" ht="12.75">
      <c r="A10" s="158">
        <v>38211</v>
      </c>
      <c r="B10" s="152">
        <v>0.4166666666666667</v>
      </c>
      <c r="D10" s="152">
        <v>0.5833333333333334</v>
      </c>
      <c r="E10" t="s">
        <v>392</v>
      </c>
      <c r="F10" s="7"/>
    </row>
    <row r="11" spans="1:5" ht="12.75">
      <c r="A11" s="158">
        <v>38211</v>
      </c>
      <c r="B11" s="152">
        <v>0.6041666666666666</v>
      </c>
      <c r="E11" t="s">
        <v>393</v>
      </c>
    </row>
    <row r="12" spans="1:5" ht="12.75">
      <c r="A12" s="158">
        <v>38211</v>
      </c>
      <c r="C12" s="158">
        <v>38224</v>
      </c>
      <c r="E12" t="s">
        <v>390</v>
      </c>
    </row>
    <row r="13" spans="1:5" ht="12.75">
      <c r="A13" s="158">
        <v>38218</v>
      </c>
      <c r="B13" s="152" t="s">
        <v>395</v>
      </c>
      <c r="E13" t="s">
        <v>396</v>
      </c>
    </row>
  </sheetData>
  <sheetProtection/>
  <autoFilter ref="A1:F13"/>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ContactsData"/>
  <dimension ref="A1:T11"/>
  <sheetViews>
    <sheetView zoomScalePageLayoutView="0" workbookViewId="0" topLeftCell="A1">
      <pane xSplit="4" ySplit="1" topLeftCell="J2" activePane="bottomRight" state="frozen"/>
      <selection pane="topLeft" activeCell="A1" sqref="A1"/>
      <selection pane="topRight" activeCell="E1" sqref="E1"/>
      <selection pane="bottomLeft" activeCell="A2" sqref="A2"/>
      <selection pane="bottomRight" activeCell="A2" sqref="A2:R11"/>
    </sheetView>
  </sheetViews>
  <sheetFormatPr defaultColWidth="9.140625" defaultRowHeight="12.75"/>
  <cols>
    <col min="1" max="1" width="11.7109375" style="0" bestFit="1" customWidth="1"/>
    <col min="3" max="3" width="12.421875" style="0" bestFit="1" customWidth="1"/>
    <col min="6" max="9" width="8.140625" style="0" customWidth="1"/>
    <col min="10" max="10" width="8.140625" style="74" customWidth="1"/>
    <col min="11" max="11" width="15.421875" style="55" bestFit="1" customWidth="1"/>
    <col min="12" max="13" width="8.140625" style="55" customWidth="1"/>
    <col min="14" max="16" width="8.140625" style="0" customWidth="1"/>
    <col min="17" max="17" width="10.421875" style="0" bestFit="1" customWidth="1"/>
    <col min="18" max="18" width="12.00390625" style="117" bestFit="1" customWidth="1"/>
    <col min="22" max="22" width="8.57421875" style="0" bestFit="1" customWidth="1"/>
  </cols>
  <sheetData>
    <row r="1" spans="1:18" s="58" customFormat="1" ht="24">
      <c r="A1" s="56" t="s">
        <v>96</v>
      </c>
      <c r="B1" s="58" t="s">
        <v>95</v>
      </c>
      <c r="C1" s="56" t="s">
        <v>324</v>
      </c>
      <c r="D1" s="58" t="s">
        <v>97</v>
      </c>
      <c r="E1" s="58" t="s">
        <v>325</v>
      </c>
      <c r="F1" s="56" t="s">
        <v>98</v>
      </c>
      <c r="G1" s="56" t="s">
        <v>323</v>
      </c>
      <c r="H1" s="56" t="s">
        <v>100</v>
      </c>
      <c r="I1" s="56" t="s">
        <v>101</v>
      </c>
      <c r="J1" s="73" t="s">
        <v>102</v>
      </c>
      <c r="K1" s="57" t="s">
        <v>107</v>
      </c>
      <c r="L1" s="57" t="s">
        <v>108</v>
      </c>
      <c r="M1" s="57" t="s">
        <v>109</v>
      </c>
      <c r="N1" s="56" t="s">
        <v>103</v>
      </c>
      <c r="O1" s="56" t="s">
        <v>104</v>
      </c>
      <c r="P1" s="56" t="s">
        <v>110</v>
      </c>
      <c r="Q1" s="56" t="s">
        <v>105</v>
      </c>
      <c r="R1" s="116" t="s">
        <v>106</v>
      </c>
    </row>
    <row r="2" spans="1:18" ht="12.75">
      <c r="A2" t="s">
        <v>153</v>
      </c>
      <c r="B2" t="s">
        <v>151</v>
      </c>
      <c r="C2" t="s">
        <v>152</v>
      </c>
      <c r="D2" t="s">
        <v>154</v>
      </c>
      <c r="F2" t="s">
        <v>327</v>
      </c>
      <c r="H2" t="s">
        <v>155</v>
      </c>
      <c r="I2" t="s">
        <v>156</v>
      </c>
      <c r="J2" s="74">
        <v>47809</v>
      </c>
      <c r="K2" s="55" t="s">
        <v>315</v>
      </c>
      <c r="N2" s="75" t="s">
        <v>157</v>
      </c>
      <c r="P2" t="s">
        <v>158</v>
      </c>
      <c r="Q2" t="s">
        <v>159</v>
      </c>
      <c r="R2" s="117">
        <v>38174</v>
      </c>
    </row>
    <row r="3" spans="1:17" ht="12.75">
      <c r="A3" t="s">
        <v>163</v>
      </c>
      <c r="B3" t="s">
        <v>160</v>
      </c>
      <c r="C3" t="s">
        <v>161</v>
      </c>
      <c r="D3" t="s">
        <v>162</v>
      </c>
      <c r="F3" t="s">
        <v>180</v>
      </c>
      <c r="H3" t="s">
        <v>164</v>
      </c>
      <c r="I3" t="s">
        <v>165</v>
      </c>
      <c r="J3" s="74">
        <v>5</v>
      </c>
      <c r="K3" s="55" t="s">
        <v>315</v>
      </c>
      <c r="N3" s="75" t="s">
        <v>166</v>
      </c>
      <c r="P3" t="s">
        <v>167</v>
      </c>
      <c r="Q3" t="s">
        <v>168</v>
      </c>
    </row>
    <row r="4" spans="1:17" ht="12.75">
      <c r="A4" t="s">
        <v>169</v>
      </c>
      <c r="K4" s="55" t="s">
        <v>315</v>
      </c>
      <c r="Q4" t="s">
        <v>170</v>
      </c>
    </row>
    <row r="5" spans="1:20" ht="12.75">
      <c r="A5" t="s">
        <v>171</v>
      </c>
      <c r="B5" t="s">
        <v>176</v>
      </c>
      <c r="C5" t="s">
        <v>172</v>
      </c>
      <c r="D5" t="s">
        <v>173</v>
      </c>
      <c r="F5">
        <v>5</v>
      </c>
      <c r="H5" t="s">
        <v>174</v>
      </c>
      <c r="I5" t="s">
        <v>156</v>
      </c>
      <c r="J5" s="74">
        <v>5</v>
      </c>
      <c r="K5" s="55" t="s">
        <v>315</v>
      </c>
      <c r="Q5" t="s">
        <v>159</v>
      </c>
      <c r="R5" s="117">
        <v>38211</v>
      </c>
      <c r="T5" s="103"/>
    </row>
    <row r="6" spans="1:20" ht="12.75">
      <c r="A6" t="s">
        <v>153</v>
      </c>
      <c r="B6" t="s">
        <v>160</v>
      </c>
      <c r="C6" t="s">
        <v>328</v>
      </c>
      <c r="D6" t="s">
        <v>74</v>
      </c>
      <c r="E6" t="s">
        <v>329</v>
      </c>
      <c r="F6" t="s">
        <v>330</v>
      </c>
      <c r="H6" t="s">
        <v>331</v>
      </c>
      <c r="I6" t="s">
        <v>156</v>
      </c>
      <c r="J6" s="74">
        <v>47803</v>
      </c>
      <c r="N6" t="s">
        <v>332</v>
      </c>
      <c r="Q6" t="s">
        <v>334</v>
      </c>
      <c r="R6" s="117">
        <v>21399</v>
      </c>
      <c r="T6" s="104"/>
    </row>
    <row r="7" spans="1:20" ht="12.75">
      <c r="A7" t="s">
        <v>183</v>
      </c>
      <c r="B7" t="s">
        <v>160</v>
      </c>
      <c r="C7" t="s">
        <v>184</v>
      </c>
      <c r="D7" t="s">
        <v>185</v>
      </c>
      <c r="F7">
        <v>5</v>
      </c>
      <c r="H7" t="s">
        <v>186</v>
      </c>
      <c r="I7" t="s">
        <v>165</v>
      </c>
      <c r="J7" s="74">
        <v>5</v>
      </c>
      <c r="K7" s="55" t="s">
        <v>315</v>
      </c>
      <c r="N7" s="75" t="s">
        <v>187</v>
      </c>
      <c r="Q7" t="s">
        <v>159</v>
      </c>
      <c r="R7" s="117">
        <v>38175</v>
      </c>
      <c r="T7" s="105"/>
    </row>
    <row r="8" spans="1:20" ht="12.75">
      <c r="A8" t="s">
        <v>183</v>
      </c>
      <c r="B8" t="s">
        <v>160</v>
      </c>
      <c r="C8" t="s">
        <v>328</v>
      </c>
      <c r="D8" t="s">
        <v>74</v>
      </c>
      <c r="E8" t="s">
        <v>329</v>
      </c>
      <c r="F8" t="s">
        <v>330</v>
      </c>
      <c r="H8" t="s">
        <v>331</v>
      </c>
      <c r="I8" t="s">
        <v>156</v>
      </c>
      <c r="J8" s="74">
        <v>47803</v>
      </c>
      <c r="N8" t="s">
        <v>332</v>
      </c>
      <c r="Q8" t="s">
        <v>334</v>
      </c>
      <c r="R8" s="117">
        <v>21399</v>
      </c>
      <c r="T8" s="105"/>
    </row>
    <row r="9" spans="1:17" ht="12.75">
      <c r="A9" t="s">
        <v>188</v>
      </c>
      <c r="B9" t="s">
        <v>189</v>
      </c>
      <c r="C9" t="s">
        <v>190</v>
      </c>
      <c r="D9" t="s">
        <v>75</v>
      </c>
      <c r="E9" t="s">
        <v>326</v>
      </c>
      <c r="F9" t="s">
        <v>191</v>
      </c>
      <c r="H9" t="s">
        <v>192</v>
      </c>
      <c r="I9" t="s">
        <v>165</v>
      </c>
      <c r="J9" s="74">
        <v>65433</v>
      </c>
      <c r="K9" s="55" t="s">
        <v>315</v>
      </c>
      <c r="Q9" t="s">
        <v>168</v>
      </c>
    </row>
    <row r="10" spans="1:17" ht="12.75">
      <c r="A10" t="s">
        <v>175</v>
      </c>
      <c r="B10" t="s">
        <v>177</v>
      </c>
      <c r="C10" t="s">
        <v>178</v>
      </c>
      <c r="D10" t="s">
        <v>179</v>
      </c>
      <c r="F10" t="s">
        <v>181</v>
      </c>
      <c r="H10" t="s">
        <v>182</v>
      </c>
      <c r="I10" t="s">
        <v>156</v>
      </c>
      <c r="J10" s="74">
        <v>35433</v>
      </c>
      <c r="K10" s="55" t="s">
        <v>315</v>
      </c>
      <c r="Q10" t="s">
        <v>170</v>
      </c>
    </row>
    <row r="11" spans="1:18" ht="12.75">
      <c r="A11" t="s">
        <v>333</v>
      </c>
      <c r="B11" t="s">
        <v>160</v>
      </c>
      <c r="C11" t="s">
        <v>328</v>
      </c>
      <c r="D11" t="s">
        <v>74</v>
      </c>
      <c r="E11" t="s">
        <v>329</v>
      </c>
      <c r="F11" t="s">
        <v>330</v>
      </c>
      <c r="H11" t="s">
        <v>331</v>
      </c>
      <c r="I11" t="s">
        <v>156</v>
      </c>
      <c r="J11" s="74">
        <v>47803</v>
      </c>
      <c r="N11" t="s">
        <v>332</v>
      </c>
      <c r="Q11" t="s">
        <v>334</v>
      </c>
      <c r="R11" s="117">
        <v>21399</v>
      </c>
    </row>
  </sheetData>
  <sheetProtection/>
  <autoFilter ref="A1:R8"/>
  <hyperlinks>
    <hyperlink ref="N2" r:id="rId1" display="BBlue@any.com"/>
    <hyperlink ref="N3" r:id="rId2" display="mmustard@your.com"/>
    <hyperlink ref="N7" r:id="rId3" display="Ppurple@us.com"/>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codeName="Welcome"/>
  <dimension ref="A1:K32"/>
  <sheetViews>
    <sheetView showGridLines="0" tabSelected="1" zoomScalePageLayoutView="0" workbookViewId="0" topLeftCell="A1">
      <selection activeCell="F3" sqref="F3"/>
    </sheetView>
  </sheetViews>
  <sheetFormatPr defaultColWidth="9.140625" defaultRowHeight="12.75"/>
  <cols>
    <col min="1" max="1" width="18.57421875" style="0" customWidth="1"/>
    <col min="2" max="2" width="10.7109375" style="0" customWidth="1"/>
    <col min="3" max="3" width="33.7109375" style="0" customWidth="1"/>
    <col min="4" max="4" width="7.140625" style="0" customWidth="1"/>
    <col min="5" max="5" width="12.7109375" style="0" customWidth="1"/>
    <col min="6" max="7" width="10.7109375" style="0" customWidth="1"/>
    <col min="8" max="8" width="15.57421875" style="0" bestFit="1" customWidth="1"/>
    <col min="9" max="9" width="10.7109375" style="0" customWidth="1"/>
    <col min="10" max="10" width="12.28125" style="0" bestFit="1" customWidth="1"/>
  </cols>
  <sheetData>
    <row r="1" spans="1:11" ht="15">
      <c r="A1" s="3"/>
      <c r="B1" s="16" t="s">
        <v>6</v>
      </c>
      <c r="C1" s="69">
        <f ca="1">TODAY()</f>
        <v>40576</v>
      </c>
      <c r="D1" s="3"/>
      <c r="E1" s="16" t="s">
        <v>7</v>
      </c>
      <c r="F1" s="67">
        <v>0.8342592592592593</v>
      </c>
      <c r="G1" s="3"/>
      <c r="H1" s="16" t="s">
        <v>8</v>
      </c>
      <c r="I1" s="68">
        <v>0.0021412037037037038</v>
      </c>
      <c r="J1" s="66"/>
      <c r="K1" s="3"/>
    </row>
    <row r="2" spans="1:11" ht="12.75">
      <c r="A2" s="3"/>
      <c r="B2" s="13"/>
      <c r="C2" s="3"/>
      <c r="D2" s="3"/>
      <c r="E2" s="3"/>
      <c r="F2" s="3"/>
      <c r="G2" s="3"/>
      <c r="H2" s="3"/>
      <c r="I2" s="3"/>
      <c r="J2" s="3"/>
      <c r="K2" s="3"/>
    </row>
    <row r="3" spans="1:11" ht="18">
      <c r="A3" s="169" t="s">
        <v>403</v>
      </c>
      <c r="B3" s="169"/>
      <c r="C3" s="169"/>
      <c r="D3" s="14"/>
      <c r="E3" s="3"/>
      <c r="F3" s="3"/>
      <c r="G3" s="3"/>
      <c r="H3" s="15"/>
      <c r="I3" s="3"/>
      <c r="J3" s="3"/>
      <c r="K3" s="3"/>
    </row>
    <row r="4" spans="1:11" ht="12.75">
      <c r="A4" s="3"/>
      <c r="B4" s="3"/>
      <c r="C4" s="3"/>
      <c r="D4" s="3"/>
      <c r="E4" s="3"/>
      <c r="F4" s="3"/>
      <c r="G4" s="3"/>
      <c r="H4" s="3"/>
      <c r="I4" s="3"/>
      <c r="J4" s="3"/>
      <c r="K4" s="3"/>
    </row>
    <row r="5" spans="1:11" ht="33.75">
      <c r="A5" s="168" t="s">
        <v>10</v>
      </c>
      <c r="B5" s="168"/>
      <c r="C5" s="168"/>
      <c r="D5" s="168"/>
      <c r="E5" s="168"/>
      <c r="F5" s="168"/>
      <c r="G5" s="168"/>
      <c r="H5" s="168"/>
      <c r="I5" s="168"/>
      <c r="J5" s="168"/>
      <c r="K5" s="3"/>
    </row>
    <row r="6" spans="1:11" ht="12.75">
      <c r="A6" s="3"/>
      <c r="B6" s="3"/>
      <c r="C6" s="3"/>
      <c r="D6" s="3"/>
      <c r="E6" s="3"/>
      <c r="F6" s="3"/>
      <c r="G6" s="3"/>
      <c r="H6" s="3"/>
      <c r="I6" s="3"/>
      <c r="J6" s="3"/>
      <c r="K6" s="3"/>
    </row>
    <row r="7" spans="1:11" ht="12.75">
      <c r="A7" s="3"/>
      <c r="B7" s="3"/>
      <c r="C7" s="128"/>
      <c r="D7" s="128"/>
      <c r="E7" s="3"/>
      <c r="F7" s="3"/>
      <c r="G7" s="3"/>
      <c r="H7" s="3"/>
      <c r="I7" s="3"/>
      <c r="J7" s="3"/>
      <c r="K7" s="3"/>
    </row>
    <row r="8" spans="1:11" ht="15">
      <c r="A8" s="3"/>
      <c r="B8" s="3"/>
      <c r="C8" s="128"/>
      <c r="D8" s="128"/>
      <c r="E8" s="16" t="s">
        <v>28</v>
      </c>
      <c r="F8" s="3"/>
      <c r="G8" s="3"/>
      <c r="H8" s="3"/>
      <c r="I8" s="3"/>
      <c r="J8" s="3"/>
      <c r="K8" s="3"/>
    </row>
    <row r="9" spans="1:11" ht="12.75">
      <c r="A9" s="3"/>
      <c r="B9" s="3"/>
      <c r="C9" s="128"/>
      <c r="D9" s="128"/>
      <c r="E9" s="3"/>
      <c r="F9" s="3"/>
      <c r="G9" s="3"/>
      <c r="H9" s="3"/>
      <c r="I9" s="3"/>
      <c r="J9" s="3"/>
      <c r="K9" s="3"/>
    </row>
    <row r="10" spans="1:11" ht="12.75">
      <c r="A10" s="3"/>
      <c r="B10" s="3"/>
      <c r="C10" s="128"/>
      <c r="D10" s="128"/>
      <c r="E10" s="3"/>
      <c r="F10" s="3"/>
      <c r="G10" s="3"/>
      <c r="H10" s="3"/>
      <c r="I10" s="3"/>
      <c r="J10" s="3"/>
      <c r="K10" s="3"/>
    </row>
    <row r="11" spans="1:11" ht="15">
      <c r="A11" s="3"/>
      <c r="B11" s="16"/>
      <c r="C11" s="128"/>
      <c r="D11" s="128"/>
      <c r="E11" s="16" t="s">
        <v>29</v>
      </c>
      <c r="F11" s="3"/>
      <c r="G11" s="3"/>
      <c r="H11" s="3"/>
      <c r="I11" s="3"/>
      <c r="J11" s="3"/>
      <c r="K11" s="3"/>
    </row>
    <row r="12" spans="1:11" ht="12.75">
      <c r="A12" s="3"/>
      <c r="B12" s="3"/>
      <c r="C12" s="128"/>
      <c r="D12" s="128"/>
      <c r="E12" s="3"/>
      <c r="F12" s="3"/>
      <c r="G12" s="3"/>
      <c r="H12" s="3"/>
      <c r="I12" s="3"/>
      <c r="J12" s="3"/>
      <c r="K12" s="3"/>
    </row>
    <row r="13" spans="1:11" ht="12.75">
      <c r="A13" s="3"/>
      <c r="B13" s="3"/>
      <c r="C13" s="128"/>
      <c r="D13" s="128"/>
      <c r="E13" s="3"/>
      <c r="F13" s="3"/>
      <c r="G13" s="3"/>
      <c r="H13" s="3"/>
      <c r="I13" s="3"/>
      <c r="J13" s="3"/>
      <c r="K13" s="3"/>
    </row>
    <row r="14" spans="1:11" ht="15">
      <c r="A14" s="3"/>
      <c r="B14" s="3"/>
      <c r="C14" s="128"/>
      <c r="D14" s="128"/>
      <c r="E14" s="127" t="s">
        <v>353</v>
      </c>
      <c r="F14" s="3"/>
      <c r="G14" s="3"/>
      <c r="H14" s="3"/>
      <c r="I14" s="3"/>
      <c r="J14" s="3"/>
      <c r="K14" s="3"/>
    </row>
    <row r="15" spans="1:11" ht="12.75">
      <c r="A15" s="3"/>
      <c r="B15" s="3"/>
      <c r="C15" s="128"/>
      <c r="D15" s="128"/>
      <c r="E15" s="3"/>
      <c r="F15" s="3"/>
      <c r="G15" s="3"/>
      <c r="H15" s="3"/>
      <c r="I15" s="3"/>
      <c r="J15" s="3"/>
      <c r="K15" s="3"/>
    </row>
    <row r="16" spans="1:11" ht="12.75">
      <c r="A16" s="3"/>
      <c r="B16" s="3"/>
      <c r="C16" s="128"/>
      <c r="D16" s="128"/>
      <c r="E16" s="3"/>
      <c r="F16" s="3"/>
      <c r="G16" s="3"/>
      <c r="H16" s="3"/>
      <c r="I16" s="3"/>
      <c r="J16" s="3"/>
      <c r="K16" s="3"/>
    </row>
    <row r="17" spans="1:11" ht="15">
      <c r="A17" s="3"/>
      <c r="B17" s="3"/>
      <c r="C17" s="128"/>
      <c r="D17" s="128"/>
      <c r="E17" s="129" t="s">
        <v>354</v>
      </c>
      <c r="F17" s="3"/>
      <c r="G17" s="3"/>
      <c r="H17" s="3"/>
      <c r="I17" s="3"/>
      <c r="J17" s="3"/>
      <c r="K17" s="3"/>
    </row>
    <row r="18" spans="1:11" ht="12.75">
      <c r="A18" s="3"/>
      <c r="B18" s="3"/>
      <c r="C18" s="128"/>
      <c r="D18" s="128"/>
      <c r="E18" s="3"/>
      <c r="F18" s="3"/>
      <c r="G18" s="3"/>
      <c r="H18" s="3"/>
      <c r="I18" s="3"/>
      <c r="J18" s="3"/>
      <c r="K18" s="3"/>
    </row>
    <row r="19" spans="1:11" ht="12.75">
      <c r="A19" s="3"/>
      <c r="B19" s="3"/>
      <c r="C19" s="128"/>
      <c r="D19" s="128"/>
      <c r="E19" s="3"/>
      <c r="F19" s="3"/>
      <c r="G19" s="3"/>
      <c r="H19" s="3"/>
      <c r="I19" s="3"/>
      <c r="J19" s="3"/>
      <c r="K19" s="3"/>
    </row>
    <row r="20" spans="1:11" ht="15">
      <c r="A20" s="3"/>
      <c r="B20" s="3"/>
      <c r="C20" s="128"/>
      <c r="D20" s="128"/>
      <c r="E20" s="16" t="s">
        <v>30</v>
      </c>
      <c r="F20" s="3"/>
      <c r="G20" s="3"/>
      <c r="H20" s="3"/>
      <c r="I20" s="3"/>
      <c r="J20" s="3"/>
      <c r="K20" s="3"/>
    </row>
    <row r="21" spans="1:11" ht="12.75">
      <c r="A21" s="3"/>
      <c r="B21" s="3"/>
      <c r="C21" s="128"/>
      <c r="D21" s="128"/>
      <c r="E21" s="3"/>
      <c r="F21" s="3"/>
      <c r="G21" s="3"/>
      <c r="H21" s="3"/>
      <c r="I21" s="3"/>
      <c r="J21" s="3"/>
      <c r="K21" s="3"/>
    </row>
    <row r="22" spans="1:11" ht="12.75">
      <c r="A22" s="3"/>
      <c r="B22" s="3"/>
      <c r="C22" s="128"/>
      <c r="D22" s="128"/>
      <c r="E22" s="3"/>
      <c r="F22" s="3"/>
      <c r="G22" s="3"/>
      <c r="H22" s="3"/>
      <c r="I22" s="3"/>
      <c r="J22" s="3"/>
      <c r="K22" s="3"/>
    </row>
    <row r="23" spans="1:11" ht="15">
      <c r="A23" s="3"/>
      <c r="B23" s="3"/>
      <c r="C23" s="128"/>
      <c r="D23" s="128"/>
      <c r="E23" s="16" t="s">
        <v>31</v>
      </c>
      <c r="F23" s="3"/>
      <c r="G23" s="3"/>
      <c r="H23" s="3"/>
      <c r="I23" s="3"/>
      <c r="J23" s="3"/>
      <c r="K23" s="3"/>
    </row>
    <row r="24" spans="1:11" ht="12.75">
      <c r="A24" s="3"/>
      <c r="B24" s="3"/>
      <c r="C24" s="128"/>
      <c r="D24" s="128"/>
      <c r="E24" s="3"/>
      <c r="F24" s="3"/>
      <c r="G24" s="3"/>
      <c r="H24" s="3"/>
      <c r="I24" s="3"/>
      <c r="J24" s="3"/>
      <c r="K24" s="3"/>
    </row>
    <row r="25" spans="1:11" ht="12.75">
      <c r="A25" s="3"/>
      <c r="B25" s="3"/>
      <c r="C25" s="128"/>
      <c r="D25" s="128"/>
      <c r="E25" s="3"/>
      <c r="F25" s="3"/>
      <c r="G25" s="3"/>
      <c r="H25" s="3"/>
      <c r="I25" s="3"/>
      <c r="J25" s="3"/>
      <c r="K25" s="3"/>
    </row>
    <row r="26" spans="1:11" ht="15">
      <c r="A26" s="3"/>
      <c r="B26" s="3"/>
      <c r="C26" s="128"/>
      <c r="D26" s="128"/>
      <c r="E26" s="16" t="s">
        <v>32</v>
      </c>
      <c r="F26" s="3"/>
      <c r="G26" s="3"/>
      <c r="H26" s="3"/>
      <c r="I26" s="3"/>
      <c r="J26" s="3"/>
      <c r="K26" s="3"/>
    </row>
    <row r="27" spans="1:11" ht="12.75">
      <c r="A27" s="3"/>
      <c r="B27" s="3"/>
      <c r="C27" s="128"/>
      <c r="D27" s="128"/>
      <c r="E27" s="3"/>
      <c r="F27" s="3"/>
      <c r="G27" s="3"/>
      <c r="H27" s="3"/>
      <c r="I27" s="3"/>
      <c r="J27" s="3"/>
      <c r="K27" s="3"/>
    </row>
    <row r="28" spans="1:11" ht="12.75">
      <c r="A28" s="3"/>
      <c r="B28" s="3"/>
      <c r="C28" s="128"/>
      <c r="D28" s="128"/>
      <c r="E28" s="3"/>
      <c r="F28" s="3"/>
      <c r="G28" s="3"/>
      <c r="H28" s="3"/>
      <c r="I28" s="3"/>
      <c r="J28" s="3"/>
      <c r="K28" s="3"/>
    </row>
    <row r="29" spans="1:11" ht="15">
      <c r="A29" s="3"/>
      <c r="B29" s="3"/>
      <c r="C29" s="128"/>
      <c r="D29" s="128"/>
      <c r="E29" s="16" t="s">
        <v>33</v>
      </c>
      <c r="F29" s="3"/>
      <c r="G29" s="3"/>
      <c r="H29" s="3"/>
      <c r="I29" s="3"/>
      <c r="J29" s="3"/>
      <c r="K29" s="3"/>
    </row>
    <row r="30" spans="1:11" ht="12.75">
      <c r="A30" s="3"/>
      <c r="B30" s="3"/>
      <c r="C30" s="128"/>
      <c r="D30" s="128"/>
      <c r="E30" s="3"/>
      <c r="F30" s="3"/>
      <c r="G30" s="3"/>
      <c r="H30" s="3"/>
      <c r="I30" s="3"/>
      <c r="J30" s="3"/>
      <c r="K30" s="3"/>
    </row>
    <row r="31" spans="1:11" ht="12.75">
      <c r="A31" s="3"/>
      <c r="B31" s="3"/>
      <c r="C31" s="3"/>
      <c r="D31" s="3"/>
      <c r="E31" s="3"/>
      <c r="F31" s="3"/>
      <c r="G31" s="3"/>
      <c r="H31" s="3"/>
      <c r="I31" s="3"/>
      <c r="J31" s="3"/>
      <c r="K31" s="3"/>
    </row>
    <row r="32" spans="1:11" ht="12.75">
      <c r="A32" s="3"/>
      <c r="B32" s="3"/>
      <c r="C32" s="3"/>
      <c r="D32" s="3"/>
      <c r="E32" s="3"/>
      <c r="F32" s="3"/>
      <c r="G32" s="3"/>
      <c r="H32" s="3"/>
      <c r="I32" s="3"/>
      <c r="J32" s="3"/>
      <c r="K32" s="3"/>
    </row>
  </sheetData>
  <sheetProtection selectLockedCells="1" selectUnlockedCells="1"/>
  <protectedRanges>
    <protectedRange sqref="C1" name="Range3"/>
    <protectedRange sqref="I1" name="Range2"/>
    <protectedRange sqref="F1" name="Range1"/>
  </protectedRanges>
  <mergeCells count="2">
    <mergeCell ref="A5:J5"/>
    <mergeCell ref="A3:C3"/>
  </mergeCells>
  <dataValidations count="7">
    <dataValidation type="custom" showInputMessage="1" showErrorMessage="1" sqref="E27:E28 E24:E25 E21:E22 E12:E13 E15:E16 D28:D29 E9:E10 A2:H2 A4:H4 A6:C29 F6:I29 D6:E7 I2:I4 D3:H3">
      <formula1>#REF!</formula1>
    </dataValidation>
    <dataValidation type="custom" showInputMessage="1" showErrorMessage="1" sqref="E29 E26 E23 E20 E8 E11 A5 A3">
      <formula1>E29</formula1>
    </dataValidation>
    <dataValidation showInputMessage="1" showErrorMessage="1" sqref="E14"/>
    <dataValidation type="custom" allowBlank="1" showInputMessage="1" showErrorMessage="1" sqref="E1 B1 H1">
      <formula1>E1</formula1>
    </dataValidation>
    <dataValidation type="time" operator="equal" allowBlank="1" showInputMessage="1" showErrorMessage="1" sqref="F1">
      <formula1>F1</formula1>
    </dataValidation>
    <dataValidation type="custom" operator="equal" allowBlank="1" showInputMessage="1" showErrorMessage="1" sqref="I1">
      <formula1>0</formula1>
    </dataValidation>
    <dataValidation type="date" operator="equal" allowBlank="1" showInputMessage="1" showErrorMessage="1" sqref="C1">
      <formula1>TODAY()</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Year"/>
  <dimension ref="A2:AB30"/>
  <sheetViews>
    <sheetView showGridLines="0" zoomScalePageLayoutView="0" workbookViewId="0" topLeftCell="A1">
      <selection activeCell="H3" sqref="H3"/>
    </sheetView>
  </sheetViews>
  <sheetFormatPr defaultColWidth="9.140625" defaultRowHeight="12.75"/>
  <cols>
    <col min="1" max="28" width="5.00390625" style="0" customWidth="1"/>
  </cols>
  <sheetData>
    <row r="2" ht="12.75">
      <c r="B2" s="32" t="s">
        <v>58</v>
      </c>
    </row>
    <row r="5" spans="1:28" ht="35.25">
      <c r="A5" s="172" t="str">
        <f>"Calendar for "&amp;[0]!userYear</f>
        <v>Calendar for 2014</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row>
    <row r="6" ht="13.5" thickBot="1"/>
    <row r="7" spans="1:28" s="30" customFormat="1" ht="15.75">
      <c r="A7" s="174" t="s">
        <v>45</v>
      </c>
      <c r="B7" s="175"/>
      <c r="C7" s="175"/>
      <c r="D7" s="175"/>
      <c r="E7" s="175"/>
      <c r="F7" s="175"/>
      <c r="G7" s="175"/>
      <c r="H7" s="173" t="s">
        <v>46</v>
      </c>
      <c r="I7" s="170"/>
      <c r="J7" s="170"/>
      <c r="K7" s="170"/>
      <c r="L7" s="170"/>
      <c r="M7" s="170"/>
      <c r="N7" s="170"/>
      <c r="O7" s="173" t="s">
        <v>47</v>
      </c>
      <c r="P7" s="170"/>
      <c r="Q7" s="170"/>
      <c r="R7" s="170"/>
      <c r="S7" s="170"/>
      <c r="T7" s="170"/>
      <c r="U7" s="170"/>
      <c r="V7" s="173" t="s">
        <v>48</v>
      </c>
      <c r="W7" s="170"/>
      <c r="X7" s="170"/>
      <c r="Y7" s="170"/>
      <c r="Z7" s="170"/>
      <c r="AA7" s="170"/>
      <c r="AB7" s="171"/>
    </row>
    <row r="8" spans="1:28" s="30" customFormat="1" ht="15.75">
      <c r="A8" s="34" t="s">
        <v>72</v>
      </c>
      <c r="B8" s="35" t="s">
        <v>73</v>
      </c>
      <c r="C8" s="35" t="s">
        <v>74</v>
      </c>
      <c r="D8" s="35" t="s">
        <v>73</v>
      </c>
      <c r="E8" s="35" t="s">
        <v>75</v>
      </c>
      <c r="F8" s="35" t="s">
        <v>76</v>
      </c>
      <c r="G8" s="36" t="s">
        <v>76</v>
      </c>
      <c r="H8" s="34" t="s">
        <v>72</v>
      </c>
      <c r="I8" s="35" t="s">
        <v>73</v>
      </c>
      <c r="J8" s="35" t="s">
        <v>74</v>
      </c>
      <c r="K8" s="35" t="s">
        <v>73</v>
      </c>
      <c r="L8" s="35" t="s">
        <v>75</v>
      </c>
      <c r="M8" s="35" t="s">
        <v>76</v>
      </c>
      <c r="N8" s="36" t="s">
        <v>76</v>
      </c>
      <c r="O8" s="34" t="s">
        <v>72</v>
      </c>
      <c r="P8" s="35" t="s">
        <v>73</v>
      </c>
      <c r="Q8" s="35" t="s">
        <v>74</v>
      </c>
      <c r="R8" s="35" t="s">
        <v>73</v>
      </c>
      <c r="S8" s="35" t="s">
        <v>75</v>
      </c>
      <c r="T8" s="35" t="s">
        <v>76</v>
      </c>
      <c r="U8" s="36" t="s">
        <v>76</v>
      </c>
      <c r="V8" s="34" t="s">
        <v>72</v>
      </c>
      <c r="W8" s="35" t="s">
        <v>73</v>
      </c>
      <c r="X8" s="35" t="s">
        <v>74</v>
      </c>
      <c r="Y8" s="35" t="s">
        <v>73</v>
      </c>
      <c r="Z8" s="35" t="s">
        <v>75</v>
      </c>
      <c r="AA8" s="35" t="s">
        <v>76</v>
      </c>
      <c r="AB8" s="37" t="s">
        <v>76</v>
      </c>
    </row>
    <row r="9" spans="1:28" ht="12.75">
      <c r="A9" s="39">
        <f>IF(INDEX(monthStartIndex,1)=1,1,"")</f>
      </c>
      <c r="B9" s="40">
        <f>IF(A9="",IF(INDEX(monthStartIndex,1)=2,1,""),A9+1)</f>
      </c>
      <c r="C9" s="40">
        <f>IF(B9="",IF(INDEX(monthStartIndex,1)=3,1,""),B9+1)</f>
        <v>1</v>
      </c>
      <c r="D9" s="40">
        <f>IF(C9="",IF(INDEX(monthStartIndex,1)=4,1,""),C9+1)</f>
        <v>2</v>
      </c>
      <c r="E9" s="40">
        <f>IF(D9="",IF(INDEX(monthStartIndex,1)=5,1,""),D9+1)</f>
        <v>3</v>
      </c>
      <c r="F9" s="40">
        <f>IF(E9="",IF(INDEX(monthStartIndex,1)=6,1,""),E9+1)</f>
        <v>4</v>
      </c>
      <c r="G9" s="41">
        <f>IF(F9="",IF(INDEX(monthStartIndex,1)=7,1,""),F9+1)</f>
        <v>5</v>
      </c>
      <c r="H9" s="39">
        <f>IF(INDEX(monthStartIndex,2)=1,1,"")</f>
      </c>
      <c r="I9" s="40">
        <f>IF(H9="",IF(INDEX(monthStartIndex,2)=2,1,""),H9+1)</f>
      </c>
      <c r="J9" s="40">
        <f>IF(I9="",IF(INDEX(monthStartIndex,2)=3,1,""),I9+1)</f>
      </c>
      <c r="K9" s="40">
        <f>IF(J9="",IF(INDEX(monthStartIndex,2)=4,1,""),J9+1)</f>
      </c>
      <c r="L9" s="40">
        <f>IF(K9="",IF(INDEX(monthStartIndex,2)=5,1,""),K9+1)</f>
      </c>
      <c r="M9" s="40">
        <f>IF(L9="",IF(INDEX(monthStartIndex,2)=6,1,""),L9+1)</f>
        <v>1</v>
      </c>
      <c r="N9" s="41">
        <f>IF(M9="",IF(INDEX(monthStartIndex,2)=7,1,""),M9+1)</f>
        <v>2</v>
      </c>
      <c r="O9" s="39">
        <f>IF(INDEX(monthStartIndex,3)=1,1,"")</f>
      </c>
      <c r="P9" s="40">
        <f>IF(O9="",IF(INDEX(monthStartIndex,3)=2,1,""),O9+1)</f>
      </c>
      <c r="Q9" s="40">
        <f>IF(P9="",IF(INDEX(monthStartIndex,3)=3,1,""),P9+1)</f>
      </c>
      <c r="R9" s="40">
        <f>IF(Q9="",IF(INDEX(monthStartIndex,3)=4,1,""),Q9+1)</f>
      </c>
      <c r="S9" s="40">
        <f>IF(R9="",IF(INDEX(monthStartIndex,3)=5,1,""),R9+1)</f>
      </c>
      <c r="T9" s="40">
        <f>IF(S9="",IF(INDEX(monthStartIndex,3)=6,1,""),S9+1)</f>
        <v>1</v>
      </c>
      <c r="U9" s="41">
        <f>IF(T9="",IF(INDEX(monthStartIndex,3)=7,1,""),T9+1)</f>
        <v>2</v>
      </c>
      <c r="V9" s="39">
        <f>IF(INDEX(monthStartIndex,4)=1,1,"")</f>
      </c>
      <c r="W9" s="40">
        <f>IF(V9="",IF(INDEX(monthStartIndex,4)=2,1,""),V9+1)</f>
        <v>1</v>
      </c>
      <c r="X9" s="40">
        <f>IF(W9="",IF(INDEX(monthStartIndex,4)=3,1,""),W9+1)</f>
        <v>2</v>
      </c>
      <c r="Y9" s="40">
        <f>IF(X9="",IF(INDEX(monthStartIndex,4)=4,1,""),X9+1)</f>
        <v>3</v>
      </c>
      <c r="Z9" s="40">
        <f>IF(Y9="",IF(INDEX(monthStartIndex,4)=5,1,""),Y9+1)</f>
        <v>4</v>
      </c>
      <c r="AA9" s="40">
        <f>IF(Z9="",IF(INDEX(monthStartIndex,4)=6,1,""),Z9+1)</f>
        <v>5</v>
      </c>
      <c r="AB9" s="42">
        <f>IF(AA9="",IF(INDEX(monthStartIndex,4)=7,1,""),AA9+1)</f>
        <v>6</v>
      </c>
    </row>
    <row r="10" spans="1:28" ht="12.75">
      <c r="A10" s="39">
        <f>G9+1</f>
        <v>6</v>
      </c>
      <c r="B10" s="40">
        <f aca="true" t="shared" si="0" ref="B10:G12">A10+1</f>
        <v>7</v>
      </c>
      <c r="C10" s="40">
        <f t="shared" si="0"/>
        <v>8</v>
      </c>
      <c r="D10" s="40">
        <f t="shared" si="0"/>
        <v>9</v>
      </c>
      <c r="E10" s="40">
        <f t="shared" si="0"/>
        <v>10</v>
      </c>
      <c r="F10" s="40">
        <f t="shared" si="0"/>
        <v>11</v>
      </c>
      <c r="G10" s="41">
        <f t="shared" si="0"/>
        <v>12</v>
      </c>
      <c r="H10" s="39">
        <f>N9+1</f>
        <v>3</v>
      </c>
      <c r="I10" s="40">
        <f aca="true" t="shared" si="1" ref="I10:N12">H10+1</f>
        <v>4</v>
      </c>
      <c r="J10" s="40">
        <f t="shared" si="1"/>
        <v>5</v>
      </c>
      <c r="K10" s="40">
        <f t="shared" si="1"/>
        <v>6</v>
      </c>
      <c r="L10" s="40">
        <f t="shared" si="1"/>
        <v>7</v>
      </c>
      <c r="M10" s="40">
        <f t="shared" si="1"/>
        <v>8</v>
      </c>
      <c r="N10" s="41">
        <f t="shared" si="1"/>
        <v>9</v>
      </c>
      <c r="O10" s="39">
        <f>U9+1</f>
        <v>3</v>
      </c>
      <c r="P10" s="40">
        <f aca="true" t="shared" si="2" ref="P10:U12">O10+1</f>
        <v>4</v>
      </c>
      <c r="Q10" s="40">
        <f t="shared" si="2"/>
        <v>5</v>
      </c>
      <c r="R10" s="40">
        <f t="shared" si="2"/>
        <v>6</v>
      </c>
      <c r="S10" s="40">
        <f t="shared" si="2"/>
        <v>7</v>
      </c>
      <c r="T10" s="40">
        <f t="shared" si="2"/>
        <v>8</v>
      </c>
      <c r="U10" s="41">
        <f t="shared" si="2"/>
        <v>9</v>
      </c>
      <c r="V10" s="39">
        <f>AB9+1</f>
        <v>7</v>
      </c>
      <c r="W10" s="40">
        <f aca="true" t="shared" si="3" ref="W10:AB12">V10+1</f>
        <v>8</v>
      </c>
      <c r="X10" s="40">
        <f t="shared" si="3"/>
        <v>9</v>
      </c>
      <c r="Y10" s="40">
        <f t="shared" si="3"/>
        <v>10</v>
      </c>
      <c r="Z10" s="40">
        <f t="shared" si="3"/>
        <v>11</v>
      </c>
      <c r="AA10" s="40">
        <f t="shared" si="3"/>
        <v>12</v>
      </c>
      <c r="AB10" s="42">
        <f t="shared" si="3"/>
        <v>13</v>
      </c>
    </row>
    <row r="11" spans="1:28" ht="12.75">
      <c r="A11" s="39">
        <f>G10+1</f>
        <v>13</v>
      </c>
      <c r="B11" s="40">
        <f t="shared" si="0"/>
        <v>14</v>
      </c>
      <c r="C11" s="40">
        <f t="shared" si="0"/>
        <v>15</v>
      </c>
      <c r="D11" s="40">
        <f t="shared" si="0"/>
        <v>16</v>
      </c>
      <c r="E11" s="40">
        <f t="shared" si="0"/>
        <v>17</v>
      </c>
      <c r="F11" s="40">
        <f t="shared" si="0"/>
        <v>18</v>
      </c>
      <c r="G11" s="41">
        <f t="shared" si="0"/>
        <v>19</v>
      </c>
      <c r="H11" s="39">
        <f>N10+1</f>
        <v>10</v>
      </c>
      <c r="I11" s="40">
        <f t="shared" si="1"/>
        <v>11</v>
      </c>
      <c r="J11" s="40">
        <f t="shared" si="1"/>
        <v>12</v>
      </c>
      <c r="K11" s="40">
        <f t="shared" si="1"/>
        <v>13</v>
      </c>
      <c r="L11" s="40">
        <f t="shared" si="1"/>
        <v>14</v>
      </c>
      <c r="M11" s="40">
        <f t="shared" si="1"/>
        <v>15</v>
      </c>
      <c r="N11" s="41">
        <f t="shared" si="1"/>
        <v>16</v>
      </c>
      <c r="O11" s="39">
        <f>U10+1</f>
        <v>10</v>
      </c>
      <c r="P11" s="40">
        <f t="shared" si="2"/>
        <v>11</v>
      </c>
      <c r="Q11" s="40">
        <f t="shared" si="2"/>
        <v>12</v>
      </c>
      <c r="R11" s="40">
        <f t="shared" si="2"/>
        <v>13</v>
      </c>
      <c r="S11" s="40">
        <f t="shared" si="2"/>
        <v>14</v>
      </c>
      <c r="T11" s="40">
        <f t="shared" si="2"/>
        <v>15</v>
      </c>
      <c r="U11" s="41">
        <f t="shared" si="2"/>
        <v>16</v>
      </c>
      <c r="V11" s="39">
        <f>AB10+1</f>
        <v>14</v>
      </c>
      <c r="W11" s="40">
        <f t="shared" si="3"/>
        <v>15</v>
      </c>
      <c r="X11" s="40">
        <f t="shared" si="3"/>
        <v>16</v>
      </c>
      <c r="Y11" s="40">
        <f t="shared" si="3"/>
        <v>17</v>
      </c>
      <c r="Z11" s="40">
        <f t="shared" si="3"/>
        <v>18</v>
      </c>
      <c r="AA11" s="40">
        <f t="shared" si="3"/>
        <v>19</v>
      </c>
      <c r="AB11" s="42">
        <f t="shared" si="3"/>
        <v>20</v>
      </c>
    </row>
    <row r="12" spans="1:28" ht="12.75">
      <c r="A12" s="39">
        <f>G11+1</f>
        <v>20</v>
      </c>
      <c r="B12" s="40">
        <f t="shared" si="0"/>
        <v>21</v>
      </c>
      <c r="C12" s="40">
        <f t="shared" si="0"/>
        <v>22</v>
      </c>
      <c r="D12" s="40">
        <f t="shared" si="0"/>
        <v>23</v>
      </c>
      <c r="E12" s="40">
        <f t="shared" si="0"/>
        <v>24</v>
      </c>
      <c r="F12" s="40">
        <f t="shared" si="0"/>
        <v>25</v>
      </c>
      <c r="G12" s="41">
        <f t="shared" si="0"/>
        <v>26</v>
      </c>
      <c r="H12" s="39">
        <f>N11+1</f>
        <v>17</v>
      </c>
      <c r="I12" s="40">
        <f t="shared" si="1"/>
        <v>18</v>
      </c>
      <c r="J12" s="40">
        <f t="shared" si="1"/>
        <v>19</v>
      </c>
      <c r="K12" s="40">
        <f t="shared" si="1"/>
        <v>20</v>
      </c>
      <c r="L12" s="40">
        <f t="shared" si="1"/>
        <v>21</v>
      </c>
      <c r="M12" s="40">
        <f t="shared" si="1"/>
        <v>22</v>
      </c>
      <c r="N12" s="41">
        <f t="shared" si="1"/>
        <v>23</v>
      </c>
      <c r="O12" s="39">
        <f>U11+1</f>
        <v>17</v>
      </c>
      <c r="P12" s="40">
        <f t="shared" si="2"/>
        <v>18</v>
      </c>
      <c r="Q12" s="40">
        <f t="shared" si="2"/>
        <v>19</v>
      </c>
      <c r="R12" s="40">
        <f t="shared" si="2"/>
        <v>20</v>
      </c>
      <c r="S12" s="40">
        <f t="shared" si="2"/>
        <v>21</v>
      </c>
      <c r="T12" s="40">
        <f t="shared" si="2"/>
        <v>22</v>
      </c>
      <c r="U12" s="41">
        <f t="shared" si="2"/>
        <v>23</v>
      </c>
      <c r="V12" s="39">
        <f>AB11+1</f>
        <v>21</v>
      </c>
      <c r="W12" s="40">
        <f t="shared" si="3"/>
        <v>22</v>
      </c>
      <c r="X12" s="40">
        <f t="shared" si="3"/>
        <v>23</v>
      </c>
      <c r="Y12" s="40">
        <f t="shared" si="3"/>
        <v>24</v>
      </c>
      <c r="Z12" s="40">
        <f t="shared" si="3"/>
        <v>25</v>
      </c>
      <c r="AA12" s="40">
        <f t="shared" si="3"/>
        <v>26</v>
      </c>
      <c r="AB12" s="42">
        <f t="shared" si="3"/>
        <v>27</v>
      </c>
    </row>
    <row r="13" spans="1:28" ht="12.75">
      <c r="A13" s="39">
        <f>IF(G12+1&lt;=INDEX(monthDays,1),G12+1,"")</f>
        <v>27</v>
      </c>
      <c r="B13" s="40">
        <f aca="true" t="shared" si="4" ref="B13:G14">IF(A13="","",IF(A13+1&lt;=INDEX(monthDays,1),A13+1,""))</f>
        <v>28</v>
      </c>
      <c r="C13" s="40">
        <f t="shared" si="4"/>
        <v>29</v>
      </c>
      <c r="D13" s="40">
        <f t="shared" si="4"/>
        <v>30</v>
      </c>
      <c r="E13" s="40">
        <f t="shared" si="4"/>
        <v>31</v>
      </c>
      <c r="F13" s="40">
        <f t="shared" si="4"/>
      </c>
      <c r="G13" s="41">
        <f t="shared" si="4"/>
      </c>
      <c r="H13" s="39">
        <f>IF(N12+1&lt;=INDEX(monthDays,2),N12+1,"")</f>
        <v>24</v>
      </c>
      <c r="I13" s="40">
        <f aca="true" t="shared" si="5" ref="I13:N14">IF(H13="","",IF(H13+1&lt;=INDEX(monthDays,2),H13+1,""))</f>
        <v>25</v>
      </c>
      <c r="J13" s="40">
        <f t="shared" si="5"/>
        <v>26</v>
      </c>
      <c r="K13" s="40">
        <f t="shared" si="5"/>
        <v>27</v>
      </c>
      <c r="L13" s="40">
        <f t="shared" si="5"/>
        <v>28</v>
      </c>
      <c r="M13" s="40">
        <f t="shared" si="5"/>
      </c>
      <c r="N13" s="41">
        <f t="shared" si="5"/>
      </c>
      <c r="O13" s="39">
        <f>IF(U12+1&lt;=INDEX(monthDays,3),U12+1,"")</f>
        <v>24</v>
      </c>
      <c r="P13" s="40">
        <f aca="true" t="shared" si="6" ref="P13:U14">IF(O13="","",IF(O13+1&lt;=INDEX(monthDays,3),O13+1,""))</f>
        <v>25</v>
      </c>
      <c r="Q13" s="40">
        <f t="shared" si="6"/>
        <v>26</v>
      </c>
      <c r="R13" s="40">
        <f t="shared" si="6"/>
        <v>27</v>
      </c>
      <c r="S13" s="40">
        <f t="shared" si="6"/>
        <v>28</v>
      </c>
      <c r="T13" s="40">
        <f t="shared" si="6"/>
        <v>29</v>
      </c>
      <c r="U13" s="41">
        <f t="shared" si="6"/>
        <v>30</v>
      </c>
      <c r="V13" s="39">
        <f>IF(AB12+1&lt;=INDEX(monthDays,4),AB12+1,"")</f>
        <v>28</v>
      </c>
      <c r="W13" s="40">
        <f aca="true" t="shared" si="7" ref="W13:AB13">IF(V13="","",IF(V13+1&lt;=INDEX(monthDays,4),V13+1,""))</f>
        <v>29</v>
      </c>
      <c r="X13" s="40">
        <f t="shared" si="7"/>
        <v>30</v>
      </c>
      <c r="Y13" s="40">
        <f t="shared" si="7"/>
      </c>
      <c r="Z13" s="40">
        <f t="shared" si="7"/>
      </c>
      <c r="AA13" s="40">
        <f t="shared" si="7"/>
      </c>
      <c r="AB13" s="42">
        <f t="shared" si="7"/>
      </c>
    </row>
    <row r="14" spans="1:28" ht="13.5" thickBot="1">
      <c r="A14" s="43">
        <f>IF(G13="","",IF(G13+1&lt;=INDEX(monthDays,1),G13+1,""))</f>
      </c>
      <c r="B14" s="44">
        <f t="shared" si="4"/>
      </c>
      <c r="C14" s="44">
        <f t="shared" si="4"/>
      </c>
      <c r="D14" s="44">
        <f t="shared" si="4"/>
      </c>
      <c r="E14" s="44">
        <f t="shared" si="4"/>
      </c>
      <c r="F14" s="44">
        <f t="shared" si="4"/>
      </c>
      <c r="G14" s="45">
        <f t="shared" si="4"/>
      </c>
      <c r="H14" s="43">
        <f>IF(N13="","",IF(N13+1&lt;=INDEX(monthDays,2),N13+1,""))</f>
      </c>
      <c r="I14" s="44">
        <f t="shared" si="5"/>
      </c>
      <c r="J14" s="44">
        <f t="shared" si="5"/>
      </c>
      <c r="K14" s="44">
        <f t="shared" si="5"/>
      </c>
      <c r="L14" s="44">
        <f t="shared" si="5"/>
      </c>
      <c r="M14" s="44">
        <f t="shared" si="5"/>
      </c>
      <c r="N14" s="45">
        <f t="shared" si="5"/>
      </c>
      <c r="O14" s="43">
        <f>IF(U13="","",IF(U13+1&lt;=INDEX(monthDays,3),U13+1,""))</f>
        <v>31</v>
      </c>
      <c r="P14" s="44">
        <f t="shared" si="6"/>
      </c>
      <c r="Q14" s="44">
        <f t="shared" si="6"/>
      </c>
      <c r="R14" s="44">
        <f t="shared" si="6"/>
      </c>
      <c r="S14" s="44">
        <f t="shared" si="6"/>
      </c>
      <c r="T14" s="44">
        <f t="shared" si="6"/>
      </c>
      <c r="U14" s="45">
        <f t="shared" si="6"/>
      </c>
      <c r="V14" s="43">
        <f>IF(AB13="","",IF(AB13+1&lt;=INDEX(monthDays,4),AB13+1,""))</f>
      </c>
      <c r="W14" s="44">
        <f>IF(V14="","",IF(V14+1&lt;=INDEX(monthDays,4),V14+1,""))</f>
      </c>
      <c r="X14" s="44">
        <f>IF(W14="","",IF(W14+1&lt;=INDEX(monthDays,3),W14+1,""))</f>
      </c>
      <c r="Y14" s="44">
        <f>IF(X14="","",IF(X14+1&lt;=INDEX(monthDays,3),X14+1,""))</f>
      </c>
      <c r="Z14" s="44">
        <f>IF(Y14="","",IF(Y14+1&lt;=INDEX(monthDays,3),Y14+1,""))</f>
      </c>
      <c r="AA14" s="44">
        <f>IF(Z14="","",IF(Z14+1&lt;=INDEX(monthDays,3),Z14+1,""))</f>
      </c>
      <c r="AB14" s="46">
        <f>IF(AA14="","",IF(AA14+1&lt;=INDEX(monthDays,3),AA14+1,""))</f>
      </c>
    </row>
    <row r="15" spans="1:28" s="30" customFormat="1" ht="15.75">
      <c r="A15" s="173" t="s">
        <v>49</v>
      </c>
      <c r="B15" s="170"/>
      <c r="C15" s="170"/>
      <c r="D15" s="170"/>
      <c r="E15" s="170"/>
      <c r="F15" s="170"/>
      <c r="G15" s="170"/>
      <c r="H15" s="173" t="s">
        <v>50</v>
      </c>
      <c r="I15" s="170"/>
      <c r="J15" s="170"/>
      <c r="K15" s="170"/>
      <c r="L15" s="170"/>
      <c r="M15" s="170"/>
      <c r="N15" s="170"/>
      <c r="O15" s="173" t="s">
        <v>51</v>
      </c>
      <c r="P15" s="170"/>
      <c r="Q15" s="170"/>
      <c r="R15" s="170"/>
      <c r="S15" s="170"/>
      <c r="T15" s="170"/>
      <c r="U15" s="170"/>
      <c r="V15" s="173" t="s">
        <v>53</v>
      </c>
      <c r="W15" s="170"/>
      <c r="X15" s="170"/>
      <c r="Y15" s="170"/>
      <c r="Z15" s="170"/>
      <c r="AA15" s="170"/>
      <c r="AB15" s="171"/>
    </row>
    <row r="16" spans="1:28" s="30" customFormat="1" ht="15.75">
      <c r="A16" s="34" t="s">
        <v>72</v>
      </c>
      <c r="B16" s="35" t="s">
        <v>73</v>
      </c>
      <c r="C16" s="35" t="s">
        <v>74</v>
      </c>
      <c r="D16" s="35" t="s">
        <v>73</v>
      </c>
      <c r="E16" s="35" t="s">
        <v>75</v>
      </c>
      <c r="F16" s="35" t="s">
        <v>76</v>
      </c>
      <c r="G16" s="36" t="s">
        <v>76</v>
      </c>
      <c r="H16" s="34" t="s">
        <v>72</v>
      </c>
      <c r="I16" s="35" t="s">
        <v>73</v>
      </c>
      <c r="J16" s="35" t="s">
        <v>74</v>
      </c>
      <c r="K16" s="35" t="s">
        <v>73</v>
      </c>
      <c r="L16" s="35" t="s">
        <v>75</v>
      </c>
      <c r="M16" s="35" t="s">
        <v>76</v>
      </c>
      <c r="N16" s="36" t="s">
        <v>76</v>
      </c>
      <c r="O16" s="34" t="s">
        <v>72</v>
      </c>
      <c r="P16" s="35" t="s">
        <v>73</v>
      </c>
      <c r="Q16" s="35" t="s">
        <v>74</v>
      </c>
      <c r="R16" s="35" t="s">
        <v>73</v>
      </c>
      <c r="S16" s="35" t="s">
        <v>75</v>
      </c>
      <c r="T16" s="35" t="s">
        <v>76</v>
      </c>
      <c r="U16" s="36" t="s">
        <v>76</v>
      </c>
      <c r="V16" s="34" t="s">
        <v>72</v>
      </c>
      <c r="W16" s="35" t="s">
        <v>73</v>
      </c>
      <c r="X16" s="35" t="s">
        <v>74</v>
      </c>
      <c r="Y16" s="35" t="s">
        <v>73</v>
      </c>
      <c r="Z16" s="35" t="s">
        <v>75</v>
      </c>
      <c r="AA16" s="35" t="s">
        <v>76</v>
      </c>
      <c r="AB16" s="37" t="s">
        <v>76</v>
      </c>
    </row>
    <row r="17" spans="1:28" ht="12.75">
      <c r="A17" s="39">
        <f>IF(INDEX(monthStartIndex,5)=1,1,"")</f>
      </c>
      <c r="B17" s="40">
        <f>IF(A17="",IF(INDEX(monthStartIndex,5)=2,1,""),A17+1)</f>
      </c>
      <c r="C17" s="40">
        <f>IF(B17="",IF(INDEX(monthStartIndex,5)=3,1,""),B17+1)</f>
      </c>
      <c r="D17" s="40">
        <f>IF(C17="",IF(INDEX(monthStartIndex,5)=4,1,""),C17+1)</f>
        <v>1</v>
      </c>
      <c r="E17" s="40">
        <f>IF(D17="",IF(INDEX(monthStartIndex,5)=5,1,""),D17+1)</f>
        <v>2</v>
      </c>
      <c r="F17" s="40">
        <f>IF(E17="",IF(INDEX(monthStartIndex,5)=6,1,""),E17+1)</f>
        <v>3</v>
      </c>
      <c r="G17" s="41">
        <f>IF(F17="",IF(INDEX(monthStartIndex,5)=7,1,""),F17+1)</f>
        <v>4</v>
      </c>
      <c r="H17" s="39">
        <f>IF(INDEX(monthStartIndex,6)=1,1,"")</f>
      </c>
      <c r="I17" s="40">
        <f>IF(H17="",IF(INDEX(monthStartIndex,6)=2,1,""),H17+1)</f>
      </c>
      <c r="J17" s="40">
        <f>IF(I17="",IF(INDEX(monthStartIndex,6)=3,1,""),I17+1)</f>
      </c>
      <c r="K17" s="40">
        <f>IF(J17="",IF(INDEX(monthStartIndex,6)=4,1,""),J17+1)</f>
      </c>
      <c r="L17" s="40">
        <f>IF(K17="",IF(INDEX(monthStartIndex,6)=5,1,""),K17+1)</f>
      </c>
      <c r="M17" s="40">
        <f>IF(L17="",IF(INDEX(monthStartIndex,6)=6,1,""),L17+1)</f>
      </c>
      <c r="N17" s="41">
        <f>IF(M17="",IF(INDEX(monthStartIndex,6)=7,1,""),M17+1)</f>
        <v>1</v>
      </c>
      <c r="O17" s="39">
        <f>IF(INDEX(monthStartIndex,7)=1,1,"")</f>
      </c>
      <c r="P17" s="40">
        <f>IF(O17="",IF(INDEX(monthStartIndex,7)=2,1,""),O17+1)</f>
        <v>1</v>
      </c>
      <c r="Q17" s="40">
        <f>IF(P17="",IF(INDEX(monthStartIndex,7)=3,1,""),P17+1)</f>
        <v>2</v>
      </c>
      <c r="R17" s="40">
        <f>IF(Q17="",IF(INDEX(monthStartIndex,7)=4,1,""),Q17+1)</f>
        <v>3</v>
      </c>
      <c r="S17" s="40">
        <f>IF(R17="",IF(INDEX(monthStartIndex,7)=5,1,""),R17+1)</f>
        <v>4</v>
      </c>
      <c r="T17" s="40">
        <f>IF(S17="",IF(INDEX(monthStartIndex,7)=6,1,""),S17+1)</f>
        <v>5</v>
      </c>
      <c r="U17" s="41">
        <f>IF(T17="",IF(INDEX(monthStartIndex,7)=7,1,""),T17+1)</f>
        <v>6</v>
      </c>
      <c r="V17" s="39">
        <f>IF(INDEX(monthStartIndex,8)=1,1,"")</f>
      </c>
      <c r="W17" s="40">
        <f>IF(V17="",IF(INDEX(monthStartIndex,8)=2,1,""),V17+1)</f>
      </c>
      <c r="X17" s="40">
        <f>IF(W17="",IF(INDEX(monthStartIndex,8)=3,1,""),W17+1)</f>
      </c>
      <c r="Y17" s="40">
        <f>IF(X17="",IF(INDEX(monthStartIndex,8)=4,1,""),X17+1)</f>
      </c>
      <c r="Z17" s="40">
        <f>IF(Y17="",IF(INDEX(monthStartIndex,8)=5,1,""),Y17+1)</f>
        <v>1</v>
      </c>
      <c r="AA17" s="40">
        <f>IF(Z17="",IF(INDEX(monthStartIndex,8)=6,1,""),Z17+1)</f>
        <v>2</v>
      </c>
      <c r="AB17" s="42">
        <f>IF(AA17="",IF(INDEX(monthStartIndex,8)=7,1,""),AA17+1)</f>
        <v>3</v>
      </c>
    </row>
    <row r="18" spans="1:28" ht="12.75">
      <c r="A18" s="39">
        <f>G17+1</f>
        <v>5</v>
      </c>
      <c r="B18" s="40">
        <f aca="true" t="shared" si="8" ref="B18:G20">A18+1</f>
        <v>6</v>
      </c>
      <c r="C18" s="40">
        <f t="shared" si="8"/>
        <v>7</v>
      </c>
      <c r="D18" s="40">
        <f t="shared" si="8"/>
        <v>8</v>
      </c>
      <c r="E18" s="40">
        <f t="shared" si="8"/>
        <v>9</v>
      </c>
      <c r="F18" s="40">
        <f t="shared" si="8"/>
        <v>10</v>
      </c>
      <c r="G18" s="41">
        <f t="shared" si="8"/>
        <v>11</v>
      </c>
      <c r="H18" s="39">
        <f>N17+1</f>
        <v>2</v>
      </c>
      <c r="I18" s="40">
        <f aca="true" t="shared" si="9" ref="I18:N20">H18+1</f>
        <v>3</v>
      </c>
      <c r="J18" s="40">
        <f t="shared" si="9"/>
        <v>4</v>
      </c>
      <c r="K18" s="40">
        <f t="shared" si="9"/>
        <v>5</v>
      </c>
      <c r="L18" s="40">
        <f t="shared" si="9"/>
        <v>6</v>
      </c>
      <c r="M18" s="40">
        <f t="shared" si="9"/>
        <v>7</v>
      </c>
      <c r="N18" s="41">
        <f t="shared" si="9"/>
        <v>8</v>
      </c>
      <c r="O18" s="39">
        <f>U17+1</f>
        <v>7</v>
      </c>
      <c r="P18" s="40">
        <f aca="true" t="shared" si="10" ref="P18:U20">O18+1</f>
        <v>8</v>
      </c>
      <c r="Q18" s="40">
        <f t="shared" si="10"/>
        <v>9</v>
      </c>
      <c r="R18" s="40">
        <f t="shared" si="10"/>
        <v>10</v>
      </c>
      <c r="S18" s="40">
        <f t="shared" si="10"/>
        <v>11</v>
      </c>
      <c r="T18" s="40">
        <f t="shared" si="10"/>
        <v>12</v>
      </c>
      <c r="U18" s="41">
        <f t="shared" si="10"/>
        <v>13</v>
      </c>
      <c r="V18" s="39">
        <f>AB17+1</f>
        <v>4</v>
      </c>
      <c r="W18" s="40">
        <f aca="true" t="shared" si="11" ref="W18:AB20">V18+1</f>
        <v>5</v>
      </c>
      <c r="X18" s="40">
        <f t="shared" si="11"/>
        <v>6</v>
      </c>
      <c r="Y18" s="40">
        <f t="shared" si="11"/>
        <v>7</v>
      </c>
      <c r="Z18" s="40">
        <f t="shared" si="11"/>
        <v>8</v>
      </c>
      <c r="AA18" s="40">
        <f t="shared" si="11"/>
        <v>9</v>
      </c>
      <c r="AB18" s="42">
        <f t="shared" si="11"/>
        <v>10</v>
      </c>
    </row>
    <row r="19" spans="1:28" ht="12.75">
      <c r="A19" s="39">
        <f>G18+1</f>
        <v>12</v>
      </c>
      <c r="B19" s="40">
        <f t="shared" si="8"/>
        <v>13</v>
      </c>
      <c r="C19" s="40">
        <f t="shared" si="8"/>
        <v>14</v>
      </c>
      <c r="D19" s="40">
        <f t="shared" si="8"/>
        <v>15</v>
      </c>
      <c r="E19" s="40">
        <f t="shared" si="8"/>
        <v>16</v>
      </c>
      <c r="F19" s="40">
        <f t="shared" si="8"/>
        <v>17</v>
      </c>
      <c r="G19" s="41">
        <f t="shared" si="8"/>
        <v>18</v>
      </c>
      <c r="H19" s="39">
        <f>N18+1</f>
        <v>9</v>
      </c>
      <c r="I19" s="40">
        <f t="shared" si="9"/>
        <v>10</v>
      </c>
      <c r="J19" s="40">
        <f t="shared" si="9"/>
        <v>11</v>
      </c>
      <c r="K19" s="40">
        <f t="shared" si="9"/>
        <v>12</v>
      </c>
      <c r="L19" s="40">
        <f t="shared" si="9"/>
        <v>13</v>
      </c>
      <c r="M19" s="40">
        <f t="shared" si="9"/>
        <v>14</v>
      </c>
      <c r="N19" s="41">
        <f t="shared" si="9"/>
        <v>15</v>
      </c>
      <c r="O19" s="39">
        <f>U18+1</f>
        <v>14</v>
      </c>
      <c r="P19" s="40">
        <f t="shared" si="10"/>
        <v>15</v>
      </c>
      <c r="Q19" s="40">
        <f t="shared" si="10"/>
        <v>16</v>
      </c>
      <c r="R19" s="40">
        <f t="shared" si="10"/>
        <v>17</v>
      </c>
      <c r="S19" s="40">
        <f t="shared" si="10"/>
        <v>18</v>
      </c>
      <c r="T19" s="40">
        <f t="shared" si="10"/>
        <v>19</v>
      </c>
      <c r="U19" s="41">
        <f t="shared" si="10"/>
        <v>20</v>
      </c>
      <c r="V19" s="39">
        <f>AB18+1</f>
        <v>11</v>
      </c>
      <c r="W19" s="40">
        <f t="shared" si="11"/>
        <v>12</v>
      </c>
      <c r="X19" s="40">
        <f t="shared" si="11"/>
        <v>13</v>
      </c>
      <c r="Y19" s="40">
        <f t="shared" si="11"/>
        <v>14</v>
      </c>
      <c r="Z19" s="40">
        <f t="shared" si="11"/>
        <v>15</v>
      </c>
      <c r="AA19" s="40">
        <f t="shared" si="11"/>
        <v>16</v>
      </c>
      <c r="AB19" s="42">
        <f t="shared" si="11"/>
        <v>17</v>
      </c>
    </row>
    <row r="20" spans="1:28" ht="12.75">
      <c r="A20" s="39">
        <f>G19+1</f>
        <v>19</v>
      </c>
      <c r="B20" s="40">
        <f t="shared" si="8"/>
        <v>20</v>
      </c>
      <c r="C20" s="40">
        <f t="shared" si="8"/>
        <v>21</v>
      </c>
      <c r="D20" s="40">
        <f t="shared" si="8"/>
        <v>22</v>
      </c>
      <c r="E20" s="40">
        <f t="shared" si="8"/>
        <v>23</v>
      </c>
      <c r="F20" s="40">
        <f t="shared" si="8"/>
        <v>24</v>
      </c>
      <c r="G20" s="41">
        <f t="shared" si="8"/>
        <v>25</v>
      </c>
      <c r="H20" s="39">
        <f>N19+1</f>
        <v>16</v>
      </c>
      <c r="I20" s="40">
        <f t="shared" si="9"/>
        <v>17</v>
      </c>
      <c r="J20" s="40">
        <f t="shared" si="9"/>
        <v>18</v>
      </c>
      <c r="K20" s="40">
        <f t="shared" si="9"/>
        <v>19</v>
      </c>
      <c r="L20" s="40">
        <f t="shared" si="9"/>
        <v>20</v>
      </c>
      <c r="M20" s="40">
        <f t="shared" si="9"/>
        <v>21</v>
      </c>
      <c r="N20" s="41">
        <f t="shared" si="9"/>
        <v>22</v>
      </c>
      <c r="O20" s="39">
        <f>U19+1</f>
        <v>21</v>
      </c>
      <c r="P20" s="40">
        <f t="shared" si="10"/>
        <v>22</v>
      </c>
      <c r="Q20" s="40">
        <f t="shared" si="10"/>
        <v>23</v>
      </c>
      <c r="R20" s="40">
        <f t="shared" si="10"/>
        <v>24</v>
      </c>
      <c r="S20" s="40">
        <f t="shared" si="10"/>
        <v>25</v>
      </c>
      <c r="T20" s="40">
        <f t="shared" si="10"/>
        <v>26</v>
      </c>
      <c r="U20" s="41">
        <f t="shared" si="10"/>
        <v>27</v>
      </c>
      <c r="V20" s="39">
        <f>AB19+1</f>
        <v>18</v>
      </c>
      <c r="W20" s="40">
        <f t="shared" si="11"/>
        <v>19</v>
      </c>
      <c r="X20" s="40">
        <f t="shared" si="11"/>
        <v>20</v>
      </c>
      <c r="Y20" s="40">
        <f t="shared" si="11"/>
        <v>21</v>
      </c>
      <c r="Z20" s="40">
        <f t="shared" si="11"/>
        <v>22</v>
      </c>
      <c r="AA20" s="40">
        <f t="shared" si="11"/>
        <v>23</v>
      </c>
      <c r="AB20" s="42">
        <f t="shared" si="11"/>
        <v>24</v>
      </c>
    </row>
    <row r="21" spans="1:28" ht="12.75">
      <c r="A21" s="39">
        <f>IF(G20+1&lt;=INDEX(monthDays,5),G20+1,"")</f>
        <v>26</v>
      </c>
      <c r="B21" s="40">
        <f aca="true" t="shared" si="12" ref="B21:G22">IF(A21="","",IF(A21+1&lt;=INDEX(monthDays,5),A21+1,""))</f>
        <v>27</v>
      </c>
      <c r="C21" s="40">
        <f t="shared" si="12"/>
        <v>28</v>
      </c>
      <c r="D21" s="40">
        <f t="shared" si="12"/>
        <v>29</v>
      </c>
      <c r="E21" s="40">
        <f t="shared" si="12"/>
        <v>30</v>
      </c>
      <c r="F21" s="40">
        <f t="shared" si="12"/>
        <v>31</v>
      </c>
      <c r="G21" s="41">
        <f t="shared" si="12"/>
      </c>
      <c r="H21" s="39">
        <f>IF(N20+1&lt;=INDEX(monthDays,6),N20+1,"")</f>
        <v>23</v>
      </c>
      <c r="I21" s="40">
        <f aca="true" t="shared" si="13" ref="I21:N22">IF(H21="","",IF(H21+1&lt;=INDEX(monthDays,6),H21+1,""))</f>
        <v>24</v>
      </c>
      <c r="J21" s="40">
        <f t="shared" si="13"/>
        <v>25</v>
      </c>
      <c r="K21" s="40">
        <f t="shared" si="13"/>
        <v>26</v>
      </c>
      <c r="L21" s="40">
        <f t="shared" si="13"/>
        <v>27</v>
      </c>
      <c r="M21" s="40">
        <f t="shared" si="13"/>
        <v>28</v>
      </c>
      <c r="N21" s="41">
        <f t="shared" si="13"/>
        <v>29</v>
      </c>
      <c r="O21" s="39">
        <f>IF(U20+1&lt;=INDEX(monthDays,7),U20+1,"")</f>
        <v>28</v>
      </c>
      <c r="P21" s="40">
        <f aca="true" t="shared" si="14" ref="P21:U22">IF(O21="","",IF(O21+1&lt;=INDEX(monthDays,7),O21+1,""))</f>
        <v>29</v>
      </c>
      <c r="Q21" s="40">
        <f t="shared" si="14"/>
        <v>30</v>
      </c>
      <c r="R21" s="40">
        <f t="shared" si="14"/>
        <v>31</v>
      </c>
      <c r="S21" s="40">
        <f t="shared" si="14"/>
      </c>
      <c r="T21" s="40">
        <f t="shared" si="14"/>
      </c>
      <c r="U21" s="41">
        <f t="shared" si="14"/>
      </c>
      <c r="V21" s="39">
        <f>IF(AB20+1&lt;=INDEX(monthDays,8),AB20+1,"")</f>
        <v>25</v>
      </c>
      <c r="W21" s="40">
        <f aca="true" t="shared" si="15" ref="W21:AB22">IF(V21="","",IF(V21+1&lt;=INDEX(monthDays,8),V21+1,""))</f>
        <v>26</v>
      </c>
      <c r="X21" s="40">
        <f t="shared" si="15"/>
        <v>27</v>
      </c>
      <c r="Y21" s="40">
        <f t="shared" si="15"/>
        <v>28</v>
      </c>
      <c r="Z21" s="40">
        <f t="shared" si="15"/>
        <v>29</v>
      </c>
      <c r="AA21" s="40">
        <f t="shared" si="15"/>
        <v>30</v>
      </c>
      <c r="AB21" s="42">
        <f t="shared" si="15"/>
        <v>31</v>
      </c>
    </row>
    <row r="22" spans="1:28" ht="13.5" thickBot="1">
      <c r="A22" s="43">
        <f>IF(G21="","",IF(G21+1&lt;=INDEX(monthDays,5),G21+1,""))</f>
      </c>
      <c r="B22" s="44">
        <f t="shared" si="12"/>
      </c>
      <c r="C22" s="44">
        <f t="shared" si="12"/>
      </c>
      <c r="D22" s="44">
        <f t="shared" si="12"/>
      </c>
      <c r="E22" s="44">
        <f t="shared" si="12"/>
      </c>
      <c r="F22" s="44">
        <f t="shared" si="12"/>
      </c>
      <c r="G22" s="45">
        <f t="shared" si="12"/>
      </c>
      <c r="H22" s="43">
        <f>IF(N21="","",IF(N21+1&lt;=INDEX(monthDays,6),N21+1,""))</f>
        <v>30</v>
      </c>
      <c r="I22" s="44">
        <f t="shared" si="13"/>
      </c>
      <c r="J22" s="44">
        <f t="shared" si="13"/>
      </c>
      <c r="K22" s="44">
        <f t="shared" si="13"/>
      </c>
      <c r="L22" s="44">
        <f t="shared" si="13"/>
      </c>
      <c r="M22" s="44">
        <f t="shared" si="13"/>
      </c>
      <c r="N22" s="45">
        <f t="shared" si="13"/>
      </c>
      <c r="O22" s="43">
        <f>IF(U21="","",IF(U21+1&lt;=INDEX(monthDays,7),U21+1,""))</f>
      </c>
      <c r="P22" s="44">
        <f t="shared" si="14"/>
      </c>
      <c r="Q22" s="44">
        <f t="shared" si="14"/>
      </c>
      <c r="R22" s="44">
        <f t="shared" si="14"/>
      </c>
      <c r="S22" s="44">
        <f t="shared" si="14"/>
      </c>
      <c r="T22" s="44">
        <f t="shared" si="14"/>
      </c>
      <c r="U22" s="45">
        <f t="shared" si="14"/>
      </c>
      <c r="V22" s="43">
        <f>IF(AB21="","",IF(AB21+1&lt;=INDEX(monthDays,8),AB21+1,""))</f>
      </c>
      <c r="W22" s="44">
        <f t="shared" si="15"/>
      </c>
      <c r="X22" s="44">
        <f t="shared" si="15"/>
      </c>
      <c r="Y22" s="44">
        <f t="shared" si="15"/>
      </c>
      <c r="Z22" s="44">
        <f t="shared" si="15"/>
      </c>
      <c r="AA22" s="44">
        <f t="shared" si="15"/>
      </c>
      <c r="AB22" s="46">
        <f t="shared" si="15"/>
      </c>
    </row>
    <row r="23" spans="1:28" s="30" customFormat="1" ht="15.75">
      <c r="A23" s="176" t="s">
        <v>52</v>
      </c>
      <c r="B23" s="177"/>
      <c r="C23" s="177"/>
      <c r="D23" s="177"/>
      <c r="E23" s="177"/>
      <c r="F23" s="177"/>
      <c r="G23" s="178"/>
      <c r="H23" s="176" t="s">
        <v>54</v>
      </c>
      <c r="I23" s="177"/>
      <c r="J23" s="177"/>
      <c r="K23" s="177"/>
      <c r="L23" s="177"/>
      <c r="M23" s="177"/>
      <c r="N23" s="178"/>
      <c r="O23" s="176" t="s">
        <v>55</v>
      </c>
      <c r="P23" s="177"/>
      <c r="Q23" s="177"/>
      <c r="R23" s="177"/>
      <c r="S23" s="177"/>
      <c r="T23" s="177"/>
      <c r="U23" s="179"/>
      <c r="V23" s="170" t="s">
        <v>56</v>
      </c>
      <c r="W23" s="170"/>
      <c r="X23" s="170"/>
      <c r="Y23" s="170"/>
      <c r="Z23" s="170"/>
      <c r="AA23" s="170"/>
      <c r="AB23" s="171"/>
    </row>
    <row r="24" spans="1:28" ht="15.75">
      <c r="A24" s="34" t="s">
        <v>72</v>
      </c>
      <c r="B24" s="35" t="s">
        <v>73</v>
      </c>
      <c r="C24" s="35" t="s">
        <v>74</v>
      </c>
      <c r="D24" s="35" t="s">
        <v>73</v>
      </c>
      <c r="E24" s="35" t="s">
        <v>75</v>
      </c>
      <c r="F24" s="35" t="s">
        <v>76</v>
      </c>
      <c r="G24" s="36" t="s">
        <v>76</v>
      </c>
      <c r="H24" s="34" t="s">
        <v>72</v>
      </c>
      <c r="I24" s="35" t="s">
        <v>73</v>
      </c>
      <c r="J24" s="35" t="s">
        <v>74</v>
      </c>
      <c r="K24" s="35" t="s">
        <v>73</v>
      </c>
      <c r="L24" s="35" t="s">
        <v>75</v>
      </c>
      <c r="M24" s="35" t="s">
        <v>76</v>
      </c>
      <c r="N24" s="36" t="s">
        <v>76</v>
      </c>
      <c r="O24" s="34" t="s">
        <v>72</v>
      </c>
      <c r="P24" s="35" t="s">
        <v>73</v>
      </c>
      <c r="Q24" s="35" t="s">
        <v>74</v>
      </c>
      <c r="R24" s="35" t="s">
        <v>73</v>
      </c>
      <c r="S24" s="35" t="s">
        <v>75</v>
      </c>
      <c r="T24" s="35" t="s">
        <v>76</v>
      </c>
      <c r="U24" s="37" t="s">
        <v>76</v>
      </c>
      <c r="V24" s="38" t="s">
        <v>72</v>
      </c>
      <c r="W24" s="35" t="s">
        <v>73</v>
      </c>
      <c r="X24" s="35" t="s">
        <v>74</v>
      </c>
      <c r="Y24" s="35" t="s">
        <v>73</v>
      </c>
      <c r="Z24" s="35" t="s">
        <v>75</v>
      </c>
      <c r="AA24" s="35" t="s">
        <v>76</v>
      </c>
      <c r="AB24" s="37" t="s">
        <v>76</v>
      </c>
    </row>
    <row r="25" spans="1:28" ht="12.75">
      <c r="A25" s="39">
        <f>IF(INDEX(monthStartIndex,9)=1,1,"")</f>
        <v>1</v>
      </c>
      <c r="B25" s="40">
        <f>IF(A25="",IF(INDEX(monthStartIndex,9)=2,1,""),A25+1)</f>
        <v>2</v>
      </c>
      <c r="C25" s="40">
        <f>IF(B25="",IF(INDEX(monthStartIndex,9)=3,1,""),B25+1)</f>
        <v>3</v>
      </c>
      <c r="D25" s="40">
        <f>IF(C25="",IF(INDEX(monthStartIndex,9)=4,1,""),C25+1)</f>
        <v>4</v>
      </c>
      <c r="E25" s="40">
        <f>IF(D25="",IF(INDEX(monthStartIndex,9)=5,1,""),D25+1)</f>
        <v>5</v>
      </c>
      <c r="F25" s="40">
        <f>IF(E25="",IF(INDEX(monthStartIndex,9)=6,1,""),E25+1)</f>
        <v>6</v>
      </c>
      <c r="G25" s="41">
        <f>IF(F25="",IF(INDEX(monthStartIndex,9)=7,1,""),F25+1)</f>
        <v>7</v>
      </c>
      <c r="H25" s="39">
        <f>IF(INDEX(monthStartIndex,10)=1,1,"")</f>
      </c>
      <c r="I25" s="40">
        <f>IF(H25="",IF(INDEX(monthStartIndex,10)=2,1,""),H25+1)</f>
      </c>
      <c r="J25" s="40">
        <f>IF(I25="",IF(INDEX(monthStartIndex,10)=3,1,""),I25+1)</f>
        <v>1</v>
      </c>
      <c r="K25" s="40">
        <f>IF(J25="",IF(INDEX(monthStartIndex,10)=4,1,""),J25+1)</f>
        <v>2</v>
      </c>
      <c r="L25" s="40">
        <f>IF(K25="",IF(INDEX(monthStartIndex,10)=5,1,""),K25+1)</f>
        <v>3</v>
      </c>
      <c r="M25" s="40">
        <f>IF(L25="",IF(INDEX(monthStartIndex,10)=6,1,""),L25+1)</f>
        <v>4</v>
      </c>
      <c r="N25" s="41">
        <f>IF(M25="",IF(INDEX(monthStartIndex,10)=7,1,""),M25+1)</f>
        <v>5</v>
      </c>
      <c r="O25" s="39">
        <f>IF(INDEX(monthStartIndex,11)=1,1,"")</f>
      </c>
      <c r="P25" s="40">
        <f>IF(O25="",IF(INDEX(monthStartIndex,11)=2,1,""),O25+1)</f>
      </c>
      <c r="Q25" s="40">
        <f>IF(P25="",IF(INDEX(monthStartIndex,11)=3,1,""),P25+1)</f>
      </c>
      <c r="R25" s="40">
        <f>IF(Q25="",IF(INDEX(monthStartIndex,11)=4,1,""),Q25+1)</f>
      </c>
      <c r="S25" s="40">
        <f>IF(R25="",IF(INDEX(monthStartIndex,11)=5,1,""),R25+1)</f>
      </c>
      <c r="T25" s="40">
        <f>IF(S25="",IF(INDEX(monthStartIndex,11)=6,1,""),S25+1)</f>
        <v>1</v>
      </c>
      <c r="U25" s="42">
        <f>IF(T25="",IF(INDEX(monthStartIndex,11)=7,1,""),T25+1)</f>
        <v>2</v>
      </c>
      <c r="V25" s="47">
        <f>IF(INDEX(monthStartIndex,12)=1,1,"")</f>
        <v>1</v>
      </c>
      <c r="W25" s="40">
        <f>IF(V25="",IF(INDEX(monthStartIndex,12)=2,1,""),V25+1)</f>
        <v>2</v>
      </c>
      <c r="X25" s="40">
        <f>IF(W25="",IF(INDEX(monthStartIndex,12)=3,1,""),W25+1)</f>
        <v>3</v>
      </c>
      <c r="Y25" s="40">
        <f>IF(X25="",IF(INDEX(monthStartIndex,12)=4,1,""),X25+1)</f>
        <v>4</v>
      </c>
      <c r="Z25" s="40">
        <f>IF(Y25="",IF(INDEX(monthStartIndex,12)=5,1,""),Y25+1)</f>
        <v>5</v>
      </c>
      <c r="AA25" s="40">
        <f>IF(Z25="",IF(INDEX(monthStartIndex,12)=6,1,""),Z25+1)</f>
        <v>6</v>
      </c>
      <c r="AB25" s="42">
        <f>IF(AA25="",IF(INDEX(monthStartIndex,12)=7,1,""),AA25+1)</f>
        <v>7</v>
      </c>
    </row>
    <row r="26" spans="1:28" ht="12.75">
      <c r="A26" s="39">
        <f>G25+1</f>
        <v>8</v>
      </c>
      <c r="B26" s="40">
        <f aca="true" t="shared" si="16" ref="B26:G28">A26+1</f>
        <v>9</v>
      </c>
      <c r="C26" s="40">
        <f t="shared" si="16"/>
        <v>10</v>
      </c>
      <c r="D26" s="40">
        <f t="shared" si="16"/>
        <v>11</v>
      </c>
      <c r="E26" s="40">
        <f t="shared" si="16"/>
        <v>12</v>
      </c>
      <c r="F26" s="40">
        <f t="shared" si="16"/>
        <v>13</v>
      </c>
      <c r="G26" s="41">
        <f t="shared" si="16"/>
        <v>14</v>
      </c>
      <c r="H26" s="39">
        <f>N25+1</f>
        <v>6</v>
      </c>
      <c r="I26" s="40">
        <f aca="true" t="shared" si="17" ref="I26:N28">H26+1</f>
        <v>7</v>
      </c>
      <c r="J26" s="40">
        <f t="shared" si="17"/>
        <v>8</v>
      </c>
      <c r="K26" s="40">
        <f t="shared" si="17"/>
        <v>9</v>
      </c>
      <c r="L26" s="40">
        <f t="shared" si="17"/>
        <v>10</v>
      </c>
      <c r="M26" s="40">
        <f t="shared" si="17"/>
        <v>11</v>
      </c>
      <c r="N26" s="41">
        <f t="shared" si="17"/>
        <v>12</v>
      </c>
      <c r="O26" s="39">
        <f>U25+1</f>
        <v>3</v>
      </c>
      <c r="P26" s="40">
        <f aca="true" t="shared" si="18" ref="P26:U28">O26+1</f>
        <v>4</v>
      </c>
      <c r="Q26" s="40">
        <f t="shared" si="18"/>
        <v>5</v>
      </c>
      <c r="R26" s="40">
        <f t="shared" si="18"/>
        <v>6</v>
      </c>
      <c r="S26" s="40">
        <f t="shared" si="18"/>
        <v>7</v>
      </c>
      <c r="T26" s="40">
        <f t="shared" si="18"/>
        <v>8</v>
      </c>
      <c r="U26" s="42">
        <f t="shared" si="18"/>
        <v>9</v>
      </c>
      <c r="V26" s="47">
        <f>AB25+1</f>
        <v>8</v>
      </c>
      <c r="W26" s="40">
        <f aca="true" t="shared" si="19" ref="W26:AB28">V26+1</f>
        <v>9</v>
      </c>
      <c r="X26" s="40">
        <f t="shared" si="19"/>
        <v>10</v>
      </c>
      <c r="Y26" s="40">
        <f t="shared" si="19"/>
        <v>11</v>
      </c>
      <c r="Z26" s="40">
        <f t="shared" si="19"/>
        <v>12</v>
      </c>
      <c r="AA26" s="40">
        <f t="shared" si="19"/>
        <v>13</v>
      </c>
      <c r="AB26" s="42">
        <f t="shared" si="19"/>
        <v>14</v>
      </c>
    </row>
    <row r="27" spans="1:28" ht="12.75">
      <c r="A27" s="39">
        <f>G26+1</f>
        <v>15</v>
      </c>
      <c r="B27" s="40">
        <f t="shared" si="16"/>
        <v>16</v>
      </c>
      <c r="C27" s="40">
        <f t="shared" si="16"/>
        <v>17</v>
      </c>
      <c r="D27" s="40">
        <f t="shared" si="16"/>
        <v>18</v>
      </c>
      <c r="E27" s="40">
        <f t="shared" si="16"/>
        <v>19</v>
      </c>
      <c r="F27" s="40">
        <f t="shared" si="16"/>
        <v>20</v>
      </c>
      <c r="G27" s="41">
        <f t="shared" si="16"/>
        <v>21</v>
      </c>
      <c r="H27" s="39">
        <f>N26+1</f>
        <v>13</v>
      </c>
      <c r="I27" s="40">
        <f t="shared" si="17"/>
        <v>14</v>
      </c>
      <c r="J27" s="40">
        <f t="shared" si="17"/>
        <v>15</v>
      </c>
      <c r="K27" s="40">
        <f t="shared" si="17"/>
        <v>16</v>
      </c>
      <c r="L27" s="40">
        <f t="shared" si="17"/>
        <v>17</v>
      </c>
      <c r="M27" s="40">
        <f t="shared" si="17"/>
        <v>18</v>
      </c>
      <c r="N27" s="41">
        <f t="shared" si="17"/>
        <v>19</v>
      </c>
      <c r="O27" s="39">
        <f>U26+1</f>
        <v>10</v>
      </c>
      <c r="P27" s="40">
        <f t="shared" si="18"/>
        <v>11</v>
      </c>
      <c r="Q27" s="40">
        <f t="shared" si="18"/>
        <v>12</v>
      </c>
      <c r="R27" s="40">
        <f t="shared" si="18"/>
        <v>13</v>
      </c>
      <c r="S27" s="40">
        <f t="shared" si="18"/>
        <v>14</v>
      </c>
      <c r="T27" s="40">
        <f t="shared" si="18"/>
        <v>15</v>
      </c>
      <c r="U27" s="42">
        <f t="shared" si="18"/>
        <v>16</v>
      </c>
      <c r="V27" s="47">
        <f>AB26+1</f>
        <v>15</v>
      </c>
      <c r="W27" s="40">
        <f t="shared" si="19"/>
        <v>16</v>
      </c>
      <c r="X27" s="40">
        <f t="shared" si="19"/>
        <v>17</v>
      </c>
      <c r="Y27" s="40">
        <f t="shared" si="19"/>
        <v>18</v>
      </c>
      <c r="Z27" s="40">
        <f t="shared" si="19"/>
        <v>19</v>
      </c>
      <c r="AA27" s="40">
        <f t="shared" si="19"/>
        <v>20</v>
      </c>
      <c r="AB27" s="42">
        <f t="shared" si="19"/>
        <v>21</v>
      </c>
    </row>
    <row r="28" spans="1:28" ht="12.75">
      <c r="A28" s="39">
        <f>G27+1</f>
        <v>22</v>
      </c>
      <c r="B28" s="40">
        <f t="shared" si="16"/>
        <v>23</v>
      </c>
      <c r="C28" s="40">
        <f t="shared" si="16"/>
        <v>24</v>
      </c>
      <c r="D28" s="40">
        <f t="shared" si="16"/>
        <v>25</v>
      </c>
      <c r="E28" s="40">
        <f t="shared" si="16"/>
        <v>26</v>
      </c>
      <c r="F28" s="40">
        <f t="shared" si="16"/>
        <v>27</v>
      </c>
      <c r="G28" s="41">
        <f t="shared" si="16"/>
        <v>28</v>
      </c>
      <c r="H28" s="39">
        <f>N27+1</f>
        <v>20</v>
      </c>
      <c r="I28" s="40">
        <f t="shared" si="17"/>
        <v>21</v>
      </c>
      <c r="J28" s="40">
        <f t="shared" si="17"/>
        <v>22</v>
      </c>
      <c r="K28" s="40">
        <f t="shared" si="17"/>
        <v>23</v>
      </c>
      <c r="L28" s="40">
        <f t="shared" si="17"/>
        <v>24</v>
      </c>
      <c r="M28" s="40">
        <f t="shared" si="17"/>
        <v>25</v>
      </c>
      <c r="N28" s="41">
        <f t="shared" si="17"/>
        <v>26</v>
      </c>
      <c r="O28" s="39">
        <f>U27+1</f>
        <v>17</v>
      </c>
      <c r="P28" s="40">
        <f t="shared" si="18"/>
        <v>18</v>
      </c>
      <c r="Q28" s="40">
        <f t="shared" si="18"/>
        <v>19</v>
      </c>
      <c r="R28" s="40">
        <f t="shared" si="18"/>
        <v>20</v>
      </c>
      <c r="S28" s="40">
        <f t="shared" si="18"/>
        <v>21</v>
      </c>
      <c r="T28" s="40">
        <f t="shared" si="18"/>
        <v>22</v>
      </c>
      <c r="U28" s="42">
        <f t="shared" si="18"/>
        <v>23</v>
      </c>
      <c r="V28" s="47">
        <f>AB27+1</f>
        <v>22</v>
      </c>
      <c r="W28" s="40">
        <f t="shared" si="19"/>
        <v>23</v>
      </c>
      <c r="X28" s="40">
        <f t="shared" si="19"/>
        <v>24</v>
      </c>
      <c r="Y28" s="40">
        <f t="shared" si="19"/>
        <v>25</v>
      </c>
      <c r="Z28" s="40">
        <f t="shared" si="19"/>
        <v>26</v>
      </c>
      <c r="AA28" s="40">
        <f t="shared" si="19"/>
        <v>27</v>
      </c>
      <c r="AB28" s="42">
        <f t="shared" si="19"/>
        <v>28</v>
      </c>
    </row>
    <row r="29" spans="1:28" ht="12.75">
      <c r="A29" s="39">
        <f>IF(G28+1&lt;=INDEX(monthDays,9),G28+1,"")</f>
        <v>29</v>
      </c>
      <c r="B29" s="40">
        <f aca="true" t="shared" si="20" ref="B29:G30">IF(A29="","",IF(A29+1&lt;=INDEX(monthDays,9),A29+1,""))</f>
        <v>30</v>
      </c>
      <c r="C29" s="40">
        <f t="shared" si="20"/>
      </c>
      <c r="D29" s="40">
        <f t="shared" si="20"/>
      </c>
      <c r="E29" s="40">
        <f t="shared" si="20"/>
      </c>
      <c r="F29" s="40">
        <f t="shared" si="20"/>
      </c>
      <c r="G29" s="41">
        <f t="shared" si="20"/>
      </c>
      <c r="H29" s="39">
        <f>IF(N28+1&lt;=INDEX(monthDays,10),N28+1,"")</f>
        <v>27</v>
      </c>
      <c r="I29" s="40">
        <f aca="true" t="shared" si="21" ref="I29:N30">IF(H29="","",IF(H29+1&lt;=INDEX(monthDays,10),H29+1,""))</f>
        <v>28</v>
      </c>
      <c r="J29" s="40">
        <f t="shared" si="21"/>
        <v>29</v>
      </c>
      <c r="K29" s="40">
        <f t="shared" si="21"/>
        <v>30</v>
      </c>
      <c r="L29" s="40">
        <f t="shared" si="21"/>
        <v>31</v>
      </c>
      <c r="M29" s="40">
        <f t="shared" si="21"/>
      </c>
      <c r="N29" s="41">
        <f t="shared" si="21"/>
      </c>
      <c r="O29" s="39">
        <f>IF(U28+1&lt;=INDEX(monthDays,11),U28+1,"")</f>
        <v>24</v>
      </c>
      <c r="P29" s="40">
        <f aca="true" t="shared" si="22" ref="P29:U30">IF(O29="","",IF(O29+1&lt;=INDEX(monthDays,11),O29+1,""))</f>
        <v>25</v>
      </c>
      <c r="Q29" s="40">
        <f t="shared" si="22"/>
        <v>26</v>
      </c>
      <c r="R29" s="40">
        <f t="shared" si="22"/>
        <v>27</v>
      </c>
      <c r="S29" s="40">
        <f t="shared" si="22"/>
        <v>28</v>
      </c>
      <c r="T29" s="40">
        <f t="shared" si="22"/>
        <v>29</v>
      </c>
      <c r="U29" s="42">
        <f t="shared" si="22"/>
        <v>30</v>
      </c>
      <c r="V29" s="47">
        <f>IF(AB28+1&lt;=INDEX(monthDays,12),AB28+1,"")</f>
        <v>29</v>
      </c>
      <c r="W29" s="40">
        <f aca="true" t="shared" si="23" ref="W29:AB30">IF(V29="","",IF(V29+1&lt;=INDEX(monthDays,12),V29+1,""))</f>
        <v>30</v>
      </c>
      <c r="X29" s="40">
        <f t="shared" si="23"/>
        <v>31</v>
      </c>
      <c r="Y29" s="40">
        <f t="shared" si="23"/>
      </c>
      <c r="Z29" s="40">
        <f t="shared" si="23"/>
      </c>
      <c r="AA29" s="40">
        <f t="shared" si="23"/>
      </c>
      <c r="AB29" s="42">
        <f t="shared" si="23"/>
      </c>
    </row>
    <row r="30" spans="1:28" ht="13.5" thickBot="1">
      <c r="A30" s="48">
        <f>IF(G29="","",IF(G29+1&lt;=INDEX(monthDays,9),G29+1,""))</f>
      </c>
      <c r="B30" s="49">
        <f t="shared" si="20"/>
      </c>
      <c r="C30" s="49">
        <f t="shared" si="20"/>
      </c>
      <c r="D30" s="49">
        <f t="shared" si="20"/>
      </c>
      <c r="E30" s="49">
        <f t="shared" si="20"/>
      </c>
      <c r="F30" s="49">
        <f t="shared" si="20"/>
      </c>
      <c r="G30" s="50">
        <f t="shared" si="20"/>
      </c>
      <c r="H30" s="48">
        <f>IF(N29="","",IF(N29+1&lt;=INDEX(monthDays,10),N29+1,""))</f>
      </c>
      <c r="I30" s="49">
        <f t="shared" si="21"/>
      </c>
      <c r="J30" s="49">
        <f t="shared" si="21"/>
      </c>
      <c r="K30" s="49">
        <f t="shared" si="21"/>
      </c>
      <c r="L30" s="49">
        <f t="shared" si="21"/>
      </c>
      <c r="M30" s="49">
        <f t="shared" si="21"/>
      </c>
      <c r="N30" s="50">
        <f t="shared" si="21"/>
      </c>
      <c r="O30" s="48">
        <f>IF(U29="","",IF(U29+1&lt;=INDEX(monthDays,11),U29+1,""))</f>
      </c>
      <c r="P30" s="49">
        <f t="shared" si="22"/>
      </c>
      <c r="Q30" s="49">
        <f t="shared" si="22"/>
      </c>
      <c r="R30" s="49">
        <f t="shared" si="22"/>
      </c>
      <c r="S30" s="49">
        <f t="shared" si="22"/>
      </c>
      <c r="T30" s="49">
        <f t="shared" si="22"/>
      </c>
      <c r="U30" s="51">
        <f t="shared" si="22"/>
      </c>
      <c r="V30" s="52">
        <f>IF(AB29="","",IF(AB29+1&lt;=INDEX(monthDays,12),AB29+1,""))</f>
      </c>
      <c r="W30" s="49">
        <f t="shared" si="23"/>
      </c>
      <c r="X30" s="49">
        <f t="shared" si="23"/>
      </c>
      <c r="Y30" s="49">
        <f t="shared" si="23"/>
      </c>
      <c r="Z30" s="49">
        <f t="shared" si="23"/>
      </c>
      <c r="AA30" s="49">
        <f t="shared" si="23"/>
      </c>
      <c r="AB30" s="51">
        <f t="shared" si="23"/>
      </c>
    </row>
  </sheetData>
  <sheetProtection sheet="1" objects="1" scenarios="1" selectLockedCells="1" selectUnlockedCells="1"/>
  <mergeCells count="13">
    <mergeCell ref="A23:G23"/>
    <mergeCell ref="H23:N23"/>
    <mergeCell ref="O23:U23"/>
    <mergeCell ref="V23:AB23"/>
    <mergeCell ref="A5:AB5"/>
    <mergeCell ref="V7:AB7"/>
    <mergeCell ref="A15:G15"/>
    <mergeCell ref="H15:N15"/>
    <mergeCell ref="O15:U15"/>
    <mergeCell ref="V15:AB15"/>
    <mergeCell ref="A7:G7"/>
    <mergeCell ref="H7:N7"/>
    <mergeCell ref="O7:U7"/>
  </mergeCell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Month"/>
  <dimension ref="A2:U37"/>
  <sheetViews>
    <sheetView showGridLines="0" zoomScalePageLayoutView="0" workbookViewId="0" topLeftCell="A1">
      <selection activeCell="H4" sqref="H4"/>
    </sheetView>
  </sheetViews>
  <sheetFormatPr defaultColWidth="9.140625" defaultRowHeight="12.75"/>
  <cols>
    <col min="1" max="21" width="6.57421875" style="0" customWidth="1"/>
  </cols>
  <sheetData>
    <row r="2" spans="2:7" ht="15.75">
      <c r="B2" s="33" t="s">
        <v>59</v>
      </c>
      <c r="G2" s="33" t="s">
        <v>58</v>
      </c>
    </row>
    <row r="5" spans="1:21" ht="36" customHeight="1">
      <c r="A5" s="172" t="str">
        <f>"Calendar for "&amp;[0]!userMonth&amp;" "&amp;[0]!userYear</f>
        <v>Calendar for March 2014</v>
      </c>
      <c r="B5" s="172"/>
      <c r="C5" s="172"/>
      <c r="D5" s="172"/>
      <c r="E5" s="172"/>
      <c r="F5" s="172"/>
      <c r="G5" s="172"/>
      <c r="H5" s="172"/>
      <c r="I5" s="172"/>
      <c r="J5" s="172"/>
      <c r="K5" s="172"/>
      <c r="L5" s="172"/>
      <c r="M5" s="172"/>
      <c r="N5" s="172"/>
      <c r="O5" s="172"/>
      <c r="P5" s="172"/>
      <c r="Q5" s="172"/>
      <c r="R5" s="172"/>
      <c r="S5" s="172"/>
      <c r="T5" s="172"/>
      <c r="U5" s="172"/>
    </row>
    <row r="6" ht="12.75">
      <c r="D6" s="18"/>
    </row>
    <row r="7" spans="1:21" ht="16.5" thickBot="1">
      <c r="A7" s="180" t="s">
        <v>38</v>
      </c>
      <c r="B7" s="180"/>
      <c r="C7" s="180"/>
      <c r="D7" s="180" t="s">
        <v>39</v>
      </c>
      <c r="E7" s="180"/>
      <c r="F7" s="180"/>
      <c r="G7" s="180" t="s">
        <v>40</v>
      </c>
      <c r="H7" s="180"/>
      <c r="I7" s="180"/>
      <c r="J7" s="180" t="s">
        <v>41</v>
      </c>
      <c r="K7" s="180"/>
      <c r="L7" s="180"/>
      <c r="M7" s="180" t="s">
        <v>42</v>
      </c>
      <c r="N7" s="180"/>
      <c r="O7" s="180"/>
      <c r="P7" s="180" t="s">
        <v>43</v>
      </c>
      <c r="Q7" s="180"/>
      <c r="R7" s="180"/>
      <c r="S7" s="180" t="s">
        <v>44</v>
      </c>
      <c r="T7" s="180"/>
      <c r="U7" s="180"/>
    </row>
    <row r="8" spans="1:21" ht="15.75">
      <c r="A8" s="29"/>
      <c r="B8" s="20"/>
      <c r="C8" s="28">
        <f>IF(userMonthStartIndex=1,1,"")</f>
      </c>
      <c r="D8" s="19"/>
      <c r="E8" s="20"/>
      <c r="F8" s="28">
        <f>IF(C8="",IF(userMonthStartIndex=2,1,""),C8+1)</f>
      </c>
      <c r="G8" s="19"/>
      <c r="H8" s="20"/>
      <c r="I8" s="28">
        <f>IF(F8="",IF(userMonthStartIndex=3,1,""),F8+1)</f>
      </c>
      <c r="J8" s="19"/>
      <c r="K8" s="20"/>
      <c r="L8" s="28">
        <f>IF(I8="",IF(userMonthStartIndex=4,1,""),I8+1)</f>
      </c>
      <c r="M8" s="19"/>
      <c r="N8" s="20"/>
      <c r="O8" s="28">
        <f>IF(L8="",IF(userMonthStartIndex=5,1,""),L8+1)</f>
      </c>
      <c r="P8" s="19"/>
      <c r="Q8" s="20"/>
      <c r="R8" s="28">
        <f>IF(O8="",IF(userMonthStartIndex=6,1,""),O8+1)</f>
        <v>1</v>
      </c>
      <c r="S8" s="19"/>
      <c r="T8" s="20"/>
      <c r="U8" s="28">
        <f>IF(R8="",IF(userMonthStartIndex=7,1,""),R8+1)</f>
        <v>2</v>
      </c>
    </row>
    <row r="9" spans="1:21" ht="12.75">
      <c r="A9" s="21"/>
      <c r="B9" s="22"/>
      <c r="C9" s="23"/>
      <c r="D9" s="21"/>
      <c r="E9" s="22"/>
      <c r="F9" s="23"/>
      <c r="G9" s="21"/>
      <c r="H9" s="22"/>
      <c r="I9" s="23"/>
      <c r="J9" s="21"/>
      <c r="K9" s="22"/>
      <c r="L9" s="23"/>
      <c r="M9" s="21"/>
      <c r="N9" s="22"/>
      <c r="O9" s="23"/>
      <c r="P9" s="21"/>
      <c r="Q9" s="22"/>
      <c r="R9" s="23"/>
      <c r="S9" s="21"/>
      <c r="T9" s="22"/>
      <c r="U9" s="23"/>
    </row>
    <row r="10" spans="1:21" ht="12.75">
      <c r="A10" s="21"/>
      <c r="B10" s="22"/>
      <c r="C10" s="23"/>
      <c r="D10" s="21"/>
      <c r="E10" s="22"/>
      <c r="F10" s="23"/>
      <c r="G10" s="21"/>
      <c r="H10" s="22"/>
      <c r="I10" s="23"/>
      <c r="J10" s="21"/>
      <c r="K10" s="22"/>
      <c r="L10" s="23"/>
      <c r="M10" s="21"/>
      <c r="N10" s="22"/>
      <c r="O10" s="23"/>
      <c r="P10" s="21"/>
      <c r="Q10" s="22"/>
      <c r="R10" s="23"/>
      <c r="S10" s="21"/>
      <c r="T10" s="22"/>
      <c r="U10" s="23"/>
    </row>
    <row r="11" spans="1:21" ht="12.75">
      <c r="A11" s="21"/>
      <c r="B11" s="22"/>
      <c r="C11" s="23"/>
      <c r="D11" s="21"/>
      <c r="E11" s="22"/>
      <c r="F11" s="23"/>
      <c r="G11" s="21"/>
      <c r="H11" s="22"/>
      <c r="I11" s="23"/>
      <c r="J11" s="21"/>
      <c r="K11" s="22"/>
      <c r="L11" s="23"/>
      <c r="M11" s="21"/>
      <c r="N11" s="22"/>
      <c r="O11" s="23"/>
      <c r="P11" s="21"/>
      <c r="Q11" s="22"/>
      <c r="R11" s="23"/>
      <c r="S11" s="21"/>
      <c r="T11" s="22"/>
      <c r="U11" s="23"/>
    </row>
    <row r="12" spans="1:21" ht="13.5" thickBot="1">
      <c r="A12" s="24"/>
      <c r="B12" s="25"/>
      <c r="C12" s="26"/>
      <c r="D12" s="24"/>
      <c r="E12" s="25"/>
      <c r="F12" s="26"/>
      <c r="G12" s="24"/>
      <c r="H12" s="25"/>
      <c r="I12" s="26"/>
      <c r="J12" s="24"/>
      <c r="K12" s="25"/>
      <c r="L12" s="26"/>
      <c r="M12" s="24"/>
      <c r="N12" s="25"/>
      <c r="O12" s="26"/>
      <c r="P12" s="24"/>
      <c r="Q12" s="25"/>
      <c r="R12" s="26"/>
      <c r="S12" s="24"/>
      <c r="T12" s="25"/>
      <c r="U12" s="26"/>
    </row>
    <row r="13" spans="1:21" ht="15.75">
      <c r="A13" s="19"/>
      <c r="B13" s="20"/>
      <c r="C13" s="28">
        <f>U8+1</f>
        <v>3</v>
      </c>
      <c r="D13" s="19"/>
      <c r="E13" s="20"/>
      <c r="F13" s="28">
        <f>C13+1</f>
        <v>4</v>
      </c>
      <c r="G13" s="19"/>
      <c r="H13" s="20"/>
      <c r="I13" s="28">
        <f>F13+1</f>
        <v>5</v>
      </c>
      <c r="J13" s="19"/>
      <c r="K13" s="20"/>
      <c r="L13" s="28">
        <f>I13+1</f>
        <v>6</v>
      </c>
      <c r="M13" s="19"/>
      <c r="N13" s="20"/>
      <c r="O13" s="28">
        <f>L13+1</f>
        <v>7</v>
      </c>
      <c r="P13" s="19"/>
      <c r="Q13" s="20"/>
      <c r="R13" s="28">
        <f>O13+1</f>
        <v>8</v>
      </c>
      <c r="S13" s="19"/>
      <c r="T13" s="20"/>
      <c r="U13" s="28">
        <f>R13+1</f>
        <v>9</v>
      </c>
    </row>
    <row r="14" spans="1:21" ht="12.75">
      <c r="A14" s="21"/>
      <c r="B14" s="22"/>
      <c r="C14" s="23"/>
      <c r="D14" s="21"/>
      <c r="E14" s="22"/>
      <c r="F14" s="23"/>
      <c r="G14" s="21"/>
      <c r="H14" s="22"/>
      <c r="I14" s="23"/>
      <c r="J14" s="21"/>
      <c r="K14" s="22"/>
      <c r="L14" s="23"/>
      <c r="M14" s="21"/>
      <c r="N14" s="22"/>
      <c r="O14" s="23"/>
      <c r="P14" s="21"/>
      <c r="Q14" s="22"/>
      <c r="R14" s="23"/>
      <c r="S14" s="21"/>
      <c r="T14" s="22"/>
      <c r="U14" s="23"/>
    </row>
    <row r="15" spans="1:21" ht="12.75">
      <c r="A15" s="21"/>
      <c r="B15" s="22"/>
      <c r="C15" s="23"/>
      <c r="D15" s="21"/>
      <c r="E15" s="22"/>
      <c r="F15" s="23"/>
      <c r="G15" s="21"/>
      <c r="H15" s="22"/>
      <c r="I15" s="23"/>
      <c r="J15" s="21"/>
      <c r="K15" s="22"/>
      <c r="L15" s="23"/>
      <c r="M15" s="21"/>
      <c r="N15" s="22"/>
      <c r="O15" s="23"/>
      <c r="P15" s="21"/>
      <c r="Q15" s="22"/>
      <c r="R15" s="23"/>
      <c r="S15" s="21"/>
      <c r="T15" s="22"/>
      <c r="U15" s="23"/>
    </row>
    <row r="16" spans="1:21" ht="12.75">
      <c r="A16" s="21"/>
      <c r="B16" s="22"/>
      <c r="C16" s="23"/>
      <c r="D16" s="21"/>
      <c r="E16" s="22"/>
      <c r="F16" s="23"/>
      <c r="G16" s="21"/>
      <c r="H16" s="22"/>
      <c r="I16" s="23"/>
      <c r="J16" s="21"/>
      <c r="K16" s="22"/>
      <c r="L16" s="23"/>
      <c r="M16" s="21"/>
      <c r="N16" s="22"/>
      <c r="O16" s="23"/>
      <c r="P16" s="21"/>
      <c r="Q16" s="22"/>
      <c r="R16" s="23"/>
      <c r="S16" s="21"/>
      <c r="T16" s="22"/>
      <c r="U16" s="23"/>
    </row>
    <row r="17" spans="1:21" ht="13.5" thickBot="1">
      <c r="A17" s="24"/>
      <c r="B17" s="25"/>
      <c r="C17" s="26"/>
      <c r="D17" s="24"/>
      <c r="E17" s="25"/>
      <c r="F17" s="26"/>
      <c r="G17" s="24"/>
      <c r="H17" s="25"/>
      <c r="I17" s="26"/>
      <c r="J17" s="24"/>
      <c r="K17" s="25"/>
      <c r="L17" s="26"/>
      <c r="M17" s="24"/>
      <c r="N17" s="25"/>
      <c r="O17" s="26"/>
      <c r="P17" s="24"/>
      <c r="Q17" s="25"/>
      <c r="R17" s="26"/>
      <c r="S17" s="24"/>
      <c r="T17" s="25"/>
      <c r="U17" s="26"/>
    </row>
    <row r="18" spans="1:21" ht="15.75">
      <c r="A18" s="19"/>
      <c r="B18" s="20"/>
      <c r="C18" s="28">
        <f>U13+1</f>
        <v>10</v>
      </c>
      <c r="D18" s="19"/>
      <c r="E18" s="20"/>
      <c r="F18" s="28">
        <f>C18+1</f>
        <v>11</v>
      </c>
      <c r="G18" s="19"/>
      <c r="H18" s="20"/>
      <c r="I18" s="28">
        <f>F18+1</f>
        <v>12</v>
      </c>
      <c r="J18" s="19"/>
      <c r="K18" s="20"/>
      <c r="L18" s="28">
        <f>I18+1</f>
        <v>13</v>
      </c>
      <c r="M18" s="19"/>
      <c r="N18" s="20"/>
      <c r="O18" s="28">
        <f>L18+1</f>
        <v>14</v>
      </c>
      <c r="P18" s="19"/>
      <c r="Q18" s="20"/>
      <c r="R18" s="28">
        <f>O18+1</f>
        <v>15</v>
      </c>
      <c r="S18" s="19"/>
      <c r="T18" s="20"/>
      <c r="U18" s="28">
        <f>R18+1</f>
        <v>16</v>
      </c>
    </row>
    <row r="19" spans="1:21" ht="12.75">
      <c r="A19" s="21"/>
      <c r="B19" s="22"/>
      <c r="C19" s="23"/>
      <c r="D19" s="21"/>
      <c r="E19" s="22"/>
      <c r="F19" s="23"/>
      <c r="G19" s="21"/>
      <c r="H19" s="22"/>
      <c r="I19" s="23"/>
      <c r="J19" s="21"/>
      <c r="K19" s="22"/>
      <c r="L19" s="23"/>
      <c r="M19" s="21"/>
      <c r="N19" s="22"/>
      <c r="O19" s="23"/>
      <c r="P19" s="21"/>
      <c r="Q19" s="22"/>
      <c r="R19" s="23"/>
      <c r="S19" s="21"/>
      <c r="T19" s="22"/>
      <c r="U19" s="23"/>
    </row>
    <row r="20" spans="1:21" ht="12.75">
      <c r="A20" s="21"/>
      <c r="B20" s="22"/>
      <c r="C20" s="23"/>
      <c r="D20" s="21"/>
      <c r="E20" s="22"/>
      <c r="F20" s="23"/>
      <c r="G20" s="21"/>
      <c r="H20" s="22"/>
      <c r="I20" s="23"/>
      <c r="J20" s="21"/>
      <c r="K20" s="22"/>
      <c r="L20" s="23"/>
      <c r="M20" s="21"/>
      <c r="N20" s="22"/>
      <c r="O20" s="23"/>
      <c r="P20" s="21"/>
      <c r="Q20" s="22"/>
      <c r="R20" s="23"/>
      <c r="S20" s="21"/>
      <c r="T20" s="22"/>
      <c r="U20" s="23"/>
    </row>
    <row r="21" spans="1:21" ht="12.75">
      <c r="A21" s="21"/>
      <c r="B21" s="22"/>
      <c r="C21" s="23"/>
      <c r="D21" s="21"/>
      <c r="E21" s="22"/>
      <c r="F21" s="23"/>
      <c r="G21" s="21"/>
      <c r="H21" s="22"/>
      <c r="I21" s="23"/>
      <c r="J21" s="21"/>
      <c r="K21" s="22"/>
      <c r="L21" s="23"/>
      <c r="M21" s="21"/>
      <c r="N21" s="22"/>
      <c r="O21" s="23"/>
      <c r="P21" s="21"/>
      <c r="Q21" s="22"/>
      <c r="R21" s="23"/>
      <c r="S21" s="21"/>
      <c r="T21" s="22"/>
      <c r="U21" s="23"/>
    </row>
    <row r="22" spans="1:21" ht="13.5" thickBot="1">
      <c r="A22" s="24"/>
      <c r="B22" s="25"/>
      <c r="C22" s="26"/>
      <c r="D22" s="24"/>
      <c r="E22" s="25"/>
      <c r="F22" s="26"/>
      <c r="G22" s="24"/>
      <c r="H22" s="25"/>
      <c r="I22" s="26"/>
      <c r="J22" s="24"/>
      <c r="K22" s="25"/>
      <c r="L22" s="26"/>
      <c r="M22" s="24"/>
      <c r="N22" s="25"/>
      <c r="O22" s="26"/>
      <c r="P22" s="24"/>
      <c r="Q22" s="25"/>
      <c r="R22" s="26"/>
      <c r="S22" s="24"/>
      <c r="T22" s="25"/>
      <c r="U22" s="26"/>
    </row>
    <row r="23" spans="1:21" ht="15.75">
      <c r="A23" s="19"/>
      <c r="B23" s="20"/>
      <c r="C23" s="28">
        <f>U18+1</f>
        <v>17</v>
      </c>
      <c r="D23" s="19"/>
      <c r="E23" s="20"/>
      <c r="F23" s="28">
        <f>C23+1</f>
        <v>18</v>
      </c>
      <c r="G23" s="19"/>
      <c r="H23" s="20"/>
      <c r="I23" s="28">
        <f>F23+1</f>
        <v>19</v>
      </c>
      <c r="J23" s="19"/>
      <c r="K23" s="20"/>
      <c r="L23" s="28">
        <f>I23+1</f>
        <v>20</v>
      </c>
      <c r="M23" s="19"/>
      <c r="N23" s="20"/>
      <c r="O23" s="28">
        <f>L23+1</f>
        <v>21</v>
      </c>
      <c r="P23" s="19"/>
      <c r="Q23" s="20"/>
      <c r="R23" s="28">
        <f>O23+1</f>
        <v>22</v>
      </c>
      <c r="S23" s="19"/>
      <c r="T23" s="20"/>
      <c r="U23" s="28">
        <f>R23+1</f>
        <v>23</v>
      </c>
    </row>
    <row r="24" spans="1:21" ht="12.75">
      <c r="A24" s="21"/>
      <c r="B24" s="22"/>
      <c r="C24" s="23"/>
      <c r="D24" s="21"/>
      <c r="E24" s="22"/>
      <c r="F24" s="23"/>
      <c r="G24" s="21"/>
      <c r="H24" s="22"/>
      <c r="I24" s="23"/>
      <c r="J24" s="21"/>
      <c r="K24" s="22"/>
      <c r="L24" s="23"/>
      <c r="M24" s="21"/>
      <c r="N24" s="22"/>
      <c r="O24" s="23"/>
      <c r="P24" s="21"/>
      <c r="Q24" s="22"/>
      <c r="R24" s="23"/>
      <c r="S24" s="21"/>
      <c r="T24" s="22"/>
      <c r="U24" s="23"/>
    </row>
    <row r="25" spans="1:21" ht="12.75">
      <c r="A25" s="21"/>
      <c r="B25" s="22"/>
      <c r="C25" s="23"/>
      <c r="D25" s="21"/>
      <c r="E25" s="22"/>
      <c r="F25" s="23"/>
      <c r="G25" s="21"/>
      <c r="H25" s="22"/>
      <c r="I25" s="23"/>
      <c r="J25" s="21"/>
      <c r="K25" s="22"/>
      <c r="L25" s="23"/>
      <c r="M25" s="21"/>
      <c r="N25" s="22"/>
      <c r="O25" s="23"/>
      <c r="P25" s="21"/>
      <c r="Q25" s="22"/>
      <c r="R25" s="23"/>
      <c r="S25" s="21"/>
      <c r="T25" s="22"/>
      <c r="U25" s="23"/>
    </row>
    <row r="26" spans="1:21" ht="12.75">
      <c r="A26" s="21"/>
      <c r="B26" s="22"/>
      <c r="C26" s="23"/>
      <c r="D26" s="21"/>
      <c r="E26" s="22"/>
      <c r="F26" s="23"/>
      <c r="G26" s="21"/>
      <c r="H26" s="22"/>
      <c r="I26" s="23"/>
      <c r="J26" s="21"/>
      <c r="K26" s="22"/>
      <c r="L26" s="23"/>
      <c r="M26" s="21"/>
      <c r="N26" s="22"/>
      <c r="O26" s="23"/>
      <c r="P26" s="21"/>
      <c r="Q26" s="22"/>
      <c r="R26" s="23"/>
      <c r="S26" s="21"/>
      <c r="T26" s="22"/>
      <c r="U26" s="23"/>
    </row>
    <row r="27" spans="1:21" ht="13.5" thickBot="1">
      <c r="A27" s="24"/>
      <c r="B27" s="25"/>
      <c r="C27" s="26"/>
      <c r="D27" s="24"/>
      <c r="E27" s="25"/>
      <c r="F27" s="26"/>
      <c r="G27" s="24"/>
      <c r="H27" s="25"/>
      <c r="I27" s="26"/>
      <c r="J27" s="24"/>
      <c r="K27" s="25"/>
      <c r="L27" s="26"/>
      <c r="M27" s="24"/>
      <c r="N27" s="25"/>
      <c r="O27" s="26"/>
      <c r="P27" s="24"/>
      <c r="Q27" s="25"/>
      <c r="R27" s="26"/>
      <c r="S27" s="24"/>
      <c r="T27" s="25"/>
      <c r="U27" s="26"/>
    </row>
    <row r="28" spans="1:21" ht="15.75">
      <c r="A28" s="19"/>
      <c r="B28" s="20"/>
      <c r="C28" s="28">
        <f>IF(U23+1&lt;=userMonthDays,U23+1,"")</f>
        <v>24</v>
      </c>
      <c r="D28" s="19"/>
      <c r="E28" s="20"/>
      <c r="F28" s="28">
        <f>IF(C28="","",IF(C28+1&lt;=userMonthDays,C28+1,""))</f>
        <v>25</v>
      </c>
      <c r="G28" s="19"/>
      <c r="H28" s="20"/>
      <c r="I28" s="28">
        <f>IF(F28="","",IF(F28+1&lt;=userMonthDays,F28+1,""))</f>
        <v>26</v>
      </c>
      <c r="J28" s="19"/>
      <c r="K28" s="20"/>
      <c r="L28" s="28">
        <f>IF(I28="","",IF(I28+1&lt;=userMonthDays,I28+1,""))</f>
        <v>27</v>
      </c>
      <c r="M28" s="19"/>
      <c r="N28" s="20"/>
      <c r="O28" s="28">
        <f>IF(L28="","",IF(L28+1&lt;=userMonthDays,L28+1,""))</f>
        <v>28</v>
      </c>
      <c r="P28" s="19"/>
      <c r="Q28" s="20"/>
      <c r="R28" s="28">
        <f>IF(O28="","",IF(O28+1&lt;=userMonthDays,O28+1,""))</f>
        <v>29</v>
      </c>
      <c r="S28" s="19"/>
      <c r="T28" s="20"/>
      <c r="U28" s="28">
        <f>IF(R28="","",IF(R28+1&lt;=userMonthDays,R28+1,""))</f>
        <v>30</v>
      </c>
    </row>
    <row r="29" spans="1:21" ht="12.75">
      <c r="A29" s="21"/>
      <c r="B29" s="22"/>
      <c r="C29" s="23"/>
      <c r="D29" s="21"/>
      <c r="E29" s="22"/>
      <c r="F29" s="27"/>
      <c r="G29" s="21"/>
      <c r="H29" s="22"/>
      <c r="I29" s="23"/>
      <c r="J29" s="21"/>
      <c r="K29" s="22"/>
      <c r="L29" s="23"/>
      <c r="M29" s="21"/>
      <c r="N29" s="22"/>
      <c r="O29" s="23"/>
      <c r="P29" s="21"/>
      <c r="Q29" s="22"/>
      <c r="R29" s="23"/>
      <c r="S29" s="21"/>
      <c r="T29" s="22"/>
      <c r="U29" s="23"/>
    </row>
    <row r="30" spans="1:21" ht="12.75">
      <c r="A30" s="21"/>
      <c r="B30" s="22"/>
      <c r="C30" s="23"/>
      <c r="D30" s="21"/>
      <c r="E30" s="22"/>
      <c r="F30" s="23"/>
      <c r="G30" s="21"/>
      <c r="H30" s="22"/>
      <c r="I30" s="23"/>
      <c r="J30" s="21"/>
      <c r="K30" s="22"/>
      <c r="L30" s="23"/>
      <c r="M30" s="21"/>
      <c r="N30" s="22"/>
      <c r="O30" s="23"/>
      <c r="P30" s="21"/>
      <c r="Q30" s="22"/>
      <c r="R30" s="23"/>
      <c r="S30" s="21"/>
      <c r="T30" s="22"/>
      <c r="U30" s="23"/>
    </row>
    <row r="31" spans="1:21" ht="12.75">
      <c r="A31" s="21"/>
      <c r="B31" s="22"/>
      <c r="C31" s="23"/>
      <c r="D31" s="21"/>
      <c r="E31" s="22"/>
      <c r="F31" s="23"/>
      <c r="G31" s="21"/>
      <c r="H31" s="22"/>
      <c r="I31" s="23"/>
      <c r="J31" s="21"/>
      <c r="K31" s="22"/>
      <c r="L31" s="23"/>
      <c r="M31" s="21"/>
      <c r="N31" s="22"/>
      <c r="O31" s="23"/>
      <c r="P31" s="21"/>
      <c r="Q31" s="22"/>
      <c r="R31" s="23"/>
      <c r="S31" s="21"/>
      <c r="T31" s="22"/>
      <c r="U31" s="23"/>
    </row>
    <row r="32" spans="1:21" ht="13.5" thickBot="1">
      <c r="A32" s="24"/>
      <c r="B32" s="25"/>
      <c r="C32" s="26"/>
      <c r="D32" s="24"/>
      <c r="E32" s="25"/>
      <c r="F32" s="26"/>
      <c r="G32" s="24"/>
      <c r="H32" s="25"/>
      <c r="I32" s="26"/>
      <c r="J32" s="24"/>
      <c r="K32" s="25"/>
      <c r="L32" s="26"/>
      <c r="M32" s="24"/>
      <c r="N32" s="25"/>
      <c r="O32" s="26"/>
      <c r="P32" s="24"/>
      <c r="Q32" s="25"/>
      <c r="R32" s="26"/>
      <c r="S32" s="24"/>
      <c r="T32" s="25"/>
      <c r="U32" s="26"/>
    </row>
    <row r="33" spans="1:21" ht="15.75">
      <c r="A33" s="19"/>
      <c r="B33" s="20"/>
      <c r="C33" s="28">
        <f>IF(U28="","",IF(U28+1&lt;=userMonthDays,U28+1,""))</f>
        <v>31</v>
      </c>
      <c r="D33" s="19"/>
      <c r="E33" s="20"/>
      <c r="F33" s="28">
        <f>IF(C33="","",IF(C33+1&lt;=userMonthDays,C33+1,""))</f>
      </c>
      <c r="G33" s="19"/>
      <c r="H33" s="20"/>
      <c r="I33" s="28">
        <f>IF(F33="","",IF(F33+1&lt;=userMonthDays,F33+1,""))</f>
      </c>
      <c r="J33" s="19"/>
      <c r="K33" s="20"/>
      <c r="L33" s="28">
        <f>IF(I33="","",IF(I33+1&lt;=userMonthDays,I33+1,""))</f>
      </c>
      <c r="M33" s="19"/>
      <c r="N33" s="20"/>
      <c r="O33" s="28">
        <f>IF(L33="","",IF(L33+1&lt;=userMonthDays,L33+1,""))</f>
      </c>
      <c r="P33" s="19"/>
      <c r="Q33" s="20"/>
      <c r="R33" s="28">
        <f>IF(O33="","",IF(O33+1&lt;=userMonthDays,O33+1,""))</f>
      </c>
      <c r="S33" s="19"/>
      <c r="T33" s="20"/>
      <c r="U33" s="28">
        <f>IF(R33="","",IF(R33+1&lt;=userMonthDays,R33+1,""))</f>
      </c>
    </row>
    <row r="34" spans="1:21" ht="12.75">
      <c r="A34" s="21"/>
      <c r="B34" s="22"/>
      <c r="C34" s="23"/>
      <c r="D34" s="21"/>
      <c r="E34" s="22"/>
      <c r="F34" s="23"/>
      <c r="G34" s="21"/>
      <c r="H34" s="22"/>
      <c r="I34" s="23"/>
      <c r="J34" s="21"/>
      <c r="K34" s="22"/>
      <c r="L34" s="23"/>
      <c r="M34" s="21"/>
      <c r="N34" s="22"/>
      <c r="O34" s="23"/>
      <c r="P34" s="21"/>
      <c r="Q34" s="22"/>
      <c r="R34" s="23"/>
      <c r="S34" s="21"/>
      <c r="T34" s="22"/>
      <c r="U34" s="23"/>
    </row>
    <row r="35" spans="1:21" ht="12.75">
      <c r="A35" s="21"/>
      <c r="B35" s="22"/>
      <c r="C35" s="23"/>
      <c r="D35" s="21"/>
      <c r="E35" s="22"/>
      <c r="F35" s="23"/>
      <c r="G35" s="21"/>
      <c r="H35" s="22"/>
      <c r="I35" s="23"/>
      <c r="J35" s="21"/>
      <c r="K35" s="22"/>
      <c r="L35" s="23"/>
      <c r="M35" s="21"/>
      <c r="N35" s="22"/>
      <c r="O35" s="23"/>
      <c r="P35" s="21"/>
      <c r="Q35" s="22"/>
      <c r="R35" s="23"/>
      <c r="S35" s="21"/>
      <c r="T35" s="22"/>
      <c r="U35" s="23"/>
    </row>
    <row r="36" spans="1:21" ht="12.75">
      <c r="A36" s="21"/>
      <c r="B36" s="22"/>
      <c r="C36" s="23"/>
      <c r="D36" s="21"/>
      <c r="E36" s="22"/>
      <c r="F36" s="23"/>
      <c r="G36" s="21"/>
      <c r="H36" s="22"/>
      <c r="I36" s="23"/>
      <c r="J36" s="21"/>
      <c r="K36" s="22"/>
      <c r="L36" s="23"/>
      <c r="M36" s="21"/>
      <c r="N36" s="22"/>
      <c r="O36" s="23"/>
      <c r="P36" s="21"/>
      <c r="Q36" s="22"/>
      <c r="R36" s="23"/>
      <c r="S36" s="21"/>
      <c r="T36" s="22"/>
      <c r="U36" s="23"/>
    </row>
    <row r="37" spans="1:21" ht="13.5" thickBot="1">
      <c r="A37" s="24"/>
      <c r="B37" s="25"/>
      <c r="C37" s="26"/>
      <c r="D37" s="24"/>
      <c r="E37" s="25"/>
      <c r="F37" s="26"/>
      <c r="G37" s="24"/>
      <c r="H37" s="25"/>
      <c r="I37" s="26"/>
      <c r="J37" s="24"/>
      <c r="K37" s="25"/>
      <c r="L37" s="26"/>
      <c r="M37" s="24"/>
      <c r="N37" s="25"/>
      <c r="O37" s="26"/>
      <c r="P37" s="24"/>
      <c r="Q37" s="25"/>
      <c r="R37" s="26"/>
      <c r="S37" s="24"/>
      <c r="T37" s="25"/>
      <c r="U37" s="26"/>
    </row>
  </sheetData>
  <sheetProtection sheet="1" objects="1" scenarios="1" selectLockedCells="1" selectUnlockedCells="1"/>
  <mergeCells count="8">
    <mergeCell ref="A5:U5"/>
    <mergeCell ref="A7:C7"/>
    <mergeCell ref="D7:F7"/>
    <mergeCell ref="G7:I7"/>
    <mergeCell ref="S7:U7"/>
    <mergeCell ref="J7:L7"/>
    <mergeCell ref="M7:O7"/>
    <mergeCell ref="P7:R7"/>
  </mergeCells>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Week"/>
  <dimension ref="A2:O34"/>
  <sheetViews>
    <sheetView showGridLines="0" zoomScalePageLayoutView="0" workbookViewId="0" topLeftCell="A1">
      <selection activeCell="E2" sqref="E2"/>
    </sheetView>
  </sheetViews>
  <sheetFormatPr defaultColWidth="9.140625" defaultRowHeight="12.75"/>
  <cols>
    <col min="1" max="1" width="11.57421875" style="0" bestFit="1" customWidth="1"/>
  </cols>
  <sheetData>
    <row r="2" spans="2:9" s="33" customFormat="1" ht="15.75">
      <c r="B2" s="33" t="s">
        <v>128</v>
      </c>
      <c r="C2" s="70"/>
      <c r="D2" s="70"/>
      <c r="F2" s="33" t="s">
        <v>59</v>
      </c>
      <c r="I2" s="33" t="s">
        <v>58</v>
      </c>
    </row>
    <row r="5" spans="1:15" ht="33.75">
      <c r="A5" s="186" t="str">
        <f>"Planner for Week Beginning Monday"&amp;", "&amp;DAY(userWeekStart)&amp;" "&amp;INDEX(monthNames,MONTH(userWeekStart))&amp;" "&amp;YEAR(userWeekStart)</f>
        <v>Planner for Week Beginning Monday, 10 March 2014</v>
      </c>
      <c r="B5" s="186"/>
      <c r="C5" s="186"/>
      <c r="D5" s="186"/>
      <c r="E5" s="186"/>
      <c r="F5" s="186"/>
      <c r="G5" s="186"/>
      <c r="H5" s="186"/>
      <c r="I5" s="186"/>
      <c r="J5" s="186"/>
      <c r="K5" s="186"/>
      <c r="L5" s="186"/>
      <c r="M5" s="186"/>
      <c r="N5" s="186"/>
      <c r="O5" s="186"/>
    </row>
    <row r="6" ht="13.5" thickBot="1"/>
    <row r="7" spans="1:15" ht="12.75">
      <c r="A7" s="59" t="s">
        <v>38</v>
      </c>
      <c r="B7" s="184"/>
      <c r="C7" s="184"/>
      <c r="D7" s="184"/>
      <c r="E7" s="184"/>
      <c r="F7" s="184"/>
      <c r="G7" s="184"/>
      <c r="H7" s="184"/>
      <c r="I7" s="184"/>
      <c r="J7" s="184"/>
      <c r="K7" s="184"/>
      <c r="L7" s="184"/>
      <c r="M7" s="184"/>
      <c r="N7" s="184"/>
      <c r="O7" s="185"/>
    </row>
    <row r="8" spans="1:15" ht="12.75">
      <c r="A8" s="60">
        <f>userWeekStart</f>
        <v>41708</v>
      </c>
      <c r="B8" s="187"/>
      <c r="C8" s="187"/>
      <c r="D8" s="187"/>
      <c r="E8" s="187"/>
      <c r="F8" s="187"/>
      <c r="G8" s="187"/>
      <c r="H8" s="187"/>
      <c r="I8" s="187"/>
      <c r="J8" s="187"/>
      <c r="K8" s="187"/>
      <c r="L8" s="187"/>
      <c r="M8" s="187"/>
      <c r="N8" s="187"/>
      <c r="O8" s="188"/>
    </row>
    <row r="9" spans="1:15" ht="12.75">
      <c r="A9" s="61"/>
      <c r="B9" s="187"/>
      <c r="C9" s="187"/>
      <c r="D9" s="187"/>
      <c r="E9" s="187"/>
      <c r="F9" s="187"/>
      <c r="G9" s="187"/>
      <c r="H9" s="187"/>
      <c r="I9" s="187"/>
      <c r="J9" s="187"/>
      <c r="K9" s="187"/>
      <c r="L9" s="187"/>
      <c r="M9" s="187"/>
      <c r="N9" s="187"/>
      <c r="O9" s="188"/>
    </row>
    <row r="10" spans="1:15" ht="13.5" thickBot="1">
      <c r="A10" s="62"/>
      <c r="B10" s="181"/>
      <c r="C10" s="181"/>
      <c r="D10" s="181"/>
      <c r="E10" s="181"/>
      <c r="F10" s="181"/>
      <c r="G10" s="181"/>
      <c r="H10" s="181"/>
      <c r="I10" s="181"/>
      <c r="J10" s="181"/>
      <c r="K10" s="181"/>
      <c r="L10" s="181"/>
      <c r="M10" s="181"/>
      <c r="N10" s="181"/>
      <c r="O10" s="182"/>
    </row>
    <row r="11" spans="1:15" ht="12.75">
      <c r="A11" s="63" t="s">
        <v>39</v>
      </c>
      <c r="B11" s="183"/>
      <c r="C11" s="184"/>
      <c r="D11" s="184"/>
      <c r="E11" s="184"/>
      <c r="F11" s="184"/>
      <c r="G11" s="184"/>
      <c r="H11" s="184"/>
      <c r="I11" s="184"/>
      <c r="J11" s="184"/>
      <c r="K11" s="184"/>
      <c r="L11" s="184"/>
      <c r="M11" s="184"/>
      <c r="N11" s="184"/>
      <c r="O11" s="185"/>
    </row>
    <row r="12" spans="1:15" ht="12.75">
      <c r="A12" s="60">
        <f>A8+1</f>
        <v>41709</v>
      </c>
      <c r="B12" s="189"/>
      <c r="C12" s="187"/>
      <c r="D12" s="187"/>
      <c r="E12" s="187"/>
      <c r="F12" s="187"/>
      <c r="G12" s="187"/>
      <c r="H12" s="187"/>
      <c r="I12" s="187"/>
      <c r="J12" s="187"/>
      <c r="K12" s="187"/>
      <c r="L12" s="187"/>
      <c r="M12" s="187"/>
      <c r="N12" s="187"/>
      <c r="O12" s="188"/>
    </row>
    <row r="13" spans="1:15" ht="12.75">
      <c r="A13" s="61"/>
      <c r="B13" s="189"/>
      <c r="C13" s="187"/>
      <c r="D13" s="187"/>
      <c r="E13" s="187"/>
      <c r="F13" s="187"/>
      <c r="G13" s="187"/>
      <c r="H13" s="187"/>
      <c r="I13" s="187"/>
      <c r="J13" s="187"/>
      <c r="K13" s="187"/>
      <c r="L13" s="187"/>
      <c r="M13" s="187"/>
      <c r="N13" s="187"/>
      <c r="O13" s="188"/>
    </row>
    <row r="14" spans="1:15" ht="13.5" thickBot="1">
      <c r="A14" s="65"/>
      <c r="B14" s="190"/>
      <c r="C14" s="181"/>
      <c r="D14" s="181"/>
      <c r="E14" s="181"/>
      <c r="F14" s="181"/>
      <c r="G14" s="181"/>
      <c r="H14" s="181"/>
      <c r="I14" s="181"/>
      <c r="J14" s="181"/>
      <c r="K14" s="181"/>
      <c r="L14" s="181"/>
      <c r="M14" s="181"/>
      <c r="N14" s="181"/>
      <c r="O14" s="182"/>
    </row>
    <row r="15" spans="1:15" ht="12.75">
      <c r="A15" s="63" t="s">
        <v>40</v>
      </c>
      <c r="B15" s="183"/>
      <c r="C15" s="184"/>
      <c r="D15" s="184"/>
      <c r="E15" s="184"/>
      <c r="F15" s="184"/>
      <c r="G15" s="184"/>
      <c r="H15" s="184"/>
      <c r="I15" s="184"/>
      <c r="J15" s="184"/>
      <c r="K15" s="184"/>
      <c r="L15" s="184"/>
      <c r="M15" s="184"/>
      <c r="N15" s="184"/>
      <c r="O15" s="185"/>
    </row>
    <row r="16" spans="1:15" ht="12.75">
      <c r="A16" s="60">
        <f>A12+1</f>
        <v>41710</v>
      </c>
      <c r="B16" s="189"/>
      <c r="C16" s="187"/>
      <c r="D16" s="187"/>
      <c r="E16" s="187"/>
      <c r="F16" s="187"/>
      <c r="G16" s="187"/>
      <c r="H16" s="187"/>
      <c r="I16" s="187"/>
      <c r="J16" s="187"/>
      <c r="K16" s="187"/>
      <c r="L16" s="187"/>
      <c r="M16" s="187"/>
      <c r="N16" s="187"/>
      <c r="O16" s="188"/>
    </row>
    <row r="17" spans="1:15" ht="12.75">
      <c r="A17" s="61"/>
      <c r="B17" s="189"/>
      <c r="C17" s="187"/>
      <c r="D17" s="187"/>
      <c r="E17" s="187"/>
      <c r="F17" s="187"/>
      <c r="G17" s="187"/>
      <c r="H17" s="187"/>
      <c r="I17" s="187"/>
      <c r="J17" s="187"/>
      <c r="K17" s="187"/>
      <c r="L17" s="187"/>
      <c r="M17" s="187"/>
      <c r="N17" s="187"/>
      <c r="O17" s="188"/>
    </row>
    <row r="18" spans="1:15" ht="13.5" thickBot="1">
      <c r="A18" s="65"/>
      <c r="B18" s="190"/>
      <c r="C18" s="181"/>
      <c r="D18" s="181"/>
      <c r="E18" s="181"/>
      <c r="F18" s="181"/>
      <c r="G18" s="181"/>
      <c r="H18" s="181"/>
      <c r="I18" s="181"/>
      <c r="J18" s="181"/>
      <c r="K18" s="181"/>
      <c r="L18" s="181"/>
      <c r="M18" s="181"/>
      <c r="N18" s="181"/>
      <c r="O18" s="182"/>
    </row>
    <row r="19" spans="1:15" ht="12.75">
      <c r="A19" s="63" t="s">
        <v>41</v>
      </c>
      <c r="B19" s="183"/>
      <c r="C19" s="184"/>
      <c r="D19" s="184"/>
      <c r="E19" s="184"/>
      <c r="F19" s="184"/>
      <c r="G19" s="184"/>
      <c r="H19" s="184"/>
      <c r="I19" s="184"/>
      <c r="J19" s="184"/>
      <c r="K19" s="184"/>
      <c r="L19" s="184"/>
      <c r="M19" s="184"/>
      <c r="N19" s="184"/>
      <c r="O19" s="185"/>
    </row>
    <row r="20" spans="1:15" ht="12.75">
      <c r="A20" s="60">
        <f>A16+1</f>
        <v>41711</v>
      </c>
      <c r="B20" s="189"/>
      <c r="C20" s="187"/>
      <c r="D20" s="187"/>
      <c r="E20" s="187"/>
      <c r="F20" s="187"/>
      <c r="G20" s="187"/>
      <c r="H20" s="187"/>
      <c r="I20" s="187"/>
      <c r="J20" s="187"/>
      <c r="K20" s="187"/>
      <c r="L20" s="187"/>
      <c r="M20" s="187"/>
      <c r="N20" s="187"/>
      <c r="O20" s="188"/>
    </row>
    <row r="21" spans="1:15" ht="12.75">
      <c r="A21" s="61"/>
      <c r="B21" s="189"/>
      <c r="C21" s="187"/>
      <c r="D21" s="187"/>
      <c r="E21" s="187"/>
      <c r="F21" s="187"/>
      <c r="G21" s="187"/>
      <c r="H21" s="187"/>
      <c r="I21" s="187"/>
      <c r="J21" s="187"/>
      <c r="K21" s="187"/>
      <c r="L21" s="187"/>
      <c r="M21" s="187"/>
      <c r="N21" s="187"/>
      <c r="O21" s="188"/>
    </row>
    <row r="22" spans="1:15" ht="13.5" thickBot="1">
      <c r="A22" s="65"/>
      <c r="B22" s="190"/>
      <c r="C22" s="181"/>
      <c r="D22" s="181"/>
      <c r="E22" s="181"/>
      <c r="F22" s="181"/>
      <c r="G22" s="181"/>
      <c r="H22" s="181"/>
      <c r="I22" s="181"/>
      <c r="J22" s="181"/>
      <c r="K22" s="181"/>
      <c r="L22" s="181"/>
      <c r="M22" s="181"/>
      <c r="N22" s="181"/>
      <c r="O22" s="182"/>
    </row>
    <row r="23" spans="1:15" ht="12.75">
      <c r="A23" s="63" t="s">
        <v>42</v>
      </c>
      <c r="B23" s="183"/>
      <c r="C23" s="184"/>
      <c r="D23" s="184"/>
      <c r="E23" s="184"/>
      <c r="F23" s="184"/>
      <c r="G23" s="184"/>
      <c r="H23" s="184"/>
      <c r="I23" s="184"/>
      <c r="J23" s="184"/>
      <c r="K23" s="184"/>
      <c r="L23" s="184"/>
      <c r="M23" s="184"/>
      <c r="N23" s="184"/>
      <c r="O23" s="185"/>
    </row>
    <row r="24" spans="1:15" ht="12.75">
      <c r="A24" s="60">
        <f>A20+1</f>
        <v>41712</v>
      </c>
      <c r="B24" s="189"/>
      <c r="C24" s="187"/>
      <c r="D24" s="187"/>
      <c r="E24" s="187"/>
      <c r="F24" s="187"/>
      <c r="G24" s="187"/>
      <c r="H24" s="187"/>
      <c r="I24" s="187"/>
      <c r="J24" s="187"/>
      <c r="K24" s="187"/>
      <c r="L24" s="187"/>
      <c r="M24" s="187"/>
      <c r="N24" s="187"/>
      <c r="O24" s="188"/>
    </row>
    <row r="25" spans="1:15" ht="12.75">
      <c r="A25" s="61"/>
      <c r="B25" s="189"/>
      <c r="C25" s="187"/>
      <c r="D25" s="187"/>
      <c r="E25" s="187"/>
      <c r="F25" s="187"/>
      <c r="G25" s="187"/>
      <c r="H25" s="187"/>
      <c r="I25" s="187"/>
      <c r="J25" s="187"/>
      <c r="K25" s="187"/>
      <c r="L25" s="187"/>
      <c r="M25" s="187"/>
      <c r="N25" s="187"/>
      <c r="O25" s="188"/>
    </row>
    <row r="26" spans="1:15" ht="13.5" thickBot="1">
      <c r="A26" s="65"/>
      <c r="B26" s="190"/>
      <c r="C26" s="181"/>
      <c r="D26" s="181"/>
      <c r="E26" s="181"/>
      <c r="F26" s="181"/>
      <c r="G26" s="181"/>
      <c r="H26" s="181"/>
      <c r="I26" s="181"/>
      <c r="J26" s="181"/>
      <c r="K26" s="181"/>
      <c r="L26" s="181"/>
      <c r="M26" s="181"/>
      <c r="N26" s="181"/>
      <c r="O26" s="182"/>
    </row>
    <row r="27" spans="1:15" ht="12.75">
      <c r="A27" s="63" t="s">
        <v>43</v>
      </c>
      <c r="B27" s="183"/>
      <c r="C27" s="184"/>
      <c r="D27" s="184"/>
      <c r="E27" s="184"/>
      <c r="F27" s="184"/>
      <c r="G27" s="184"/>
      <c r="H27" s="184"/>
      <c r="I27" s="184"/>
      <c r="J27" s="184"/>
      <c r="K27" s="184"/>
      <c r="L27" s="184"/>
      <c r="M27" s="184"/>
      <c r="N27" s="184"/>
      <c r="O27" s="185"/>
    </row>
    <row r="28" spans="1:15" ht="12.75">
      <c r="A28" s="60">
        <f>A24+1</f>
        <v>41713</v>
      </c>
      <c r="B28" s="189"/>
      <c r="C28" s="187"/>
      <c r="D28" s="187"/>
      <c r="E28" s="187"/>
      <c r="F28" s="187"/>
      <c r="G28" s="187"/>
      <c r="H28" s="187"/>
      <c r="I28" s="187"/>
      <c r="J28" s="187"/>
      <c r="K28" s="187"/>
      <c r="L28" s="187"/>
      <c r="M28" s="187"/>
      <c r="N28" s="187"/>
      <c r="O28" s="188"/>
    </row>
    <row r="29" spans="1:15" ht="12.75">
      <c r="A29" s="61"/>
      <c r="B29" s="189"/>
      <c r="C29" s="187"/>
      <c r="D29" s="187"/>
      <c r="E29" s="187"/>
      <c r="F29" s="187"/>
      <c r="G29" s="187"/>
      <c r="H29" s="187"/>
      <c r="I29" s="187"/>
      <c r="J29" s="187"/>
      <c r="K29" s="187"/>
      <c r="L29" s="187"/>
      <c r="M29" s="187"/>
      <c r="N29" s="187"/>
      <c r="O29" s="188"/>
    </row>
    <row r="30" spans="1:15" ht="13.5" thickBot="1">
      <c r="A30" s="65"/>
      <c r="B30" s="190"/>
      <c r="C30" s="181"/>
      <c r="D30" s="181"/>
      <c r="E30" s="181"/>
      <c r="F30" s="181"/>
      <c r="G30" s="181"/>
      <c r="H30" s="181"/>
      <c r="I30" s="181"/>
      <c r="J30" s="181"/>
      <c r="K30" s="181"/>
      <c r="L30" s="181"/>
      <c r="M30" s="181"/>
      <c r="N30" s="181"/>
      <c r="O30" s="182"/>
    </row>
    <row r="31" spans="1:15" ht="12.75">
      <c r="A31" s="63" t="s">
        <v>44</v>
      </c>
      <c r="B31" s="183"/>
      <c r="C31" s="184"/>
      <c r="D31" s="184"/>
      <c r="E31" s="184"/>
      <c r="F31" s="184"/>
      <c r="G31" s="184"/>
      <c r="H31" s="184"/>
      <c r="I31" s="184"/>
      <c r="J31" s="184"/>
      <c r="K31" s="184"/>
      <c r="L31" s="184"/>
      <c r="M31" s="184"/>
      <c r="N31" s="184"/>
      <c r="O31" s="185"/>
    </row>
    <row r="32" spans="1:15" ht="12.75">
      <c r="A32" s="60">
        <f>A28+1</f>
        <v>41714</v>
      </c>
      <c r="B32" s="189"/>
      <c r="C32" s="187"/>
      <c r="D32" s="187"/>
      <c r="E32" s="187"/>
      <c r="F32" s="187"/>
      <c r="G32" s="187"/>
      <c r="H32" s="187"/>
      <c r="I32" s="187"/>
      <c r="J32" s="187"/>
      <c r="K32" s="187"/>
      <c r="L32" s="187"/>
      <c r="M32" s="187"/>
      <c r="N32" s="187"/>
      <c r="O32" s="188"/>
    </row>
    <row r="33" spans="1:15" ht="12.75">
      <c r="A33" s="61"/>
      <c r="B33" s="189"/>
      <c r="C33" s="187"/>
      <c r="D33" s="187"/>
      <c r="E33" s="187"/>
      <c r="F33" s="187"/>
      <c r="G33" s="187"/>
      <c r="H33" s="187"/>
      <c r="I33" s="187"/>
      <c r="J33" s="187"/>
      <c r="K33" s="187"/>
      <c r="L33" s="187"/>
      <c r="M33" s="187"/>
      <c r="N33" s="187"/>
      <c r="O33" s="188"/>
    </row>
    <row r="34" spans="1:15" ht="13.5" thickBot="1">
      <c r="A34" s="64"/>
      <c r="B34" s="190"/>
      <c r="C34" s="181"/>
      <c r="D34" s="181"/>
      <c r="E34" s="181"/>
      <c r="F34" s="181"/>
      <c r="G34" s="181"/>
      <c r="H34" s="181"/>
      <c r="I34" s="181"/>
      <c r="J34" s="181"/>
      <c r="K34" s="181"/>
      <c r="L34" s="181"/>
      <c r="M34" s="181"/>
      <c r="N34" s="181"/>
      <c r="O34" s="182"/>
    </row>
  </sheetData>
  <sheetProtection sheet="1" objects="1" scenarios="1" selectLockedCells="1" selectUnlockedCells="1"/>
  <mergeCells count="29">
    <mergeCell ref="B34:O34"/>
    <mergeCell ref="B28:O28"/>
    <mergeCell ref="B29:O29"/>
    <mergeCell ref="B30:O30"/>
    <mergeCell ref="B31:O31"/>
    <mergeCell ref="B24:O24"/>
    <mergeCell ref="B25:O25"/>
    <mergeCell ref="B26:O26"/>
    <mergeCell ref="B27:O27"/>
    <mergeCell ref="B32:O32"/>
    <mergeCell ref="B33:O33"/>
    <mergeCell ref="B18:O18"/>
    <mergeCell ref="B19:O19"/>
    <mergeCell ref="B20:O20"/>
    <mergeCell ref="B21:O21"/>
    <mergeCell ref="B22:O22"/>
    <mergeCell ref="B23:O23"/>
    <mergeCell ref="B12:O12"/>
    <mergeCell ref="B13:O13"/>
    <mergeCell ref="B14:O14"/>
    <mergeCell ref="B15:O15"/>
    <mergeCell ref="B16:O16"/>
    <mergeCell ref="B17:O17"/>
    <mergeCell ref="B10:O10"/>
    <mergeCell ref="B11:O11"/>
    <mergeCell ref="A5:O5"/>
    <mergeCell ref="B7:O7"/>
    <mergeCell ref="B8:O8"/>
    <mergeCell ref="B9:O9"/>
  </mergeCells>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Day"/>
  <dimension ref="A1:AB106"/>
  <sheetViews>
    <sheetView zoomScalePageLayoutView="0" workbookViewId="0" topLeftCell="A1">
      <pane ySplit="6" topLeftCell="A19" activePane="bottomLeft" state="frozen"/>
      <selection pane="topLeft" activeCell="A1" sqref="A1"/>
      <selection pane="bottomLeft" activeCell="E6" sqref="E6"/>
    </sheetView>
  </sheetViews>
  <sheetFormatPr defaultColWidth="9.140625" defaultRowHeight="12.75"/>
  <cols>
    <col min="1" max="1" width="9.140625" style="130" customWidth="1"/>
  </cols>
  <sheetData>
    <row r="1" spans="1:16" ht="12.75">
      <c r="A1" s="131"/>
      <c r="B1" s="132"/>
      <c r="C1" s="132"/>
      <c r="D1" s="132"/>
      <c r="E1" s="132"/>
      <c r="F1" s="132"/>
      <c r="G1" s="132"/>
      <c r="H1" s="132"/>
      <c r="I1" s="132"/>
      <c r="J1" s="132"/>
      <c r="K1" s="132"/>
      <c r="L1" s="132"/>
      <c r="M1" s="132"/>
      <c r="N1" s="132"/>
      <c r="O1" s="132"/>
      <c r="P1" s="133"/>
    </row>
    <row r="2" spans="1:16" ht="15.75">
      <c r="A2" s="135" t="s">
        <v>355</v>
      </c>
      <c r="B2" s="132"/>
      <c r="C2" s="132"/>
      <c r="D2" s="134" t="s">
        <v>128</v>
      </c>
      <c r="E2" s="132"/>
      <c r="F2" s="132"/>
      <c r="G2" s="134" t="s">
        <v>59</v>
      </c>
      <c r="H2" s="132"/>
      <c r="I2" s="132"/>
      <c r="J2" s="134" t="s">
        <v>58</v>
      </c>
      <c r="K2" s="132"/>
      <c r="L2" s="132"/>
      <c r="M2" s="132"/>
      <c r="N2" s="132"/>
      <c r="O2" s="132"/>
      <c r="P2" s="133"/>
    </row>
    <row r="3" spans="1:16" ht="12.75">
      <c r="A3" s="131"/>
      <c r="B3" s="132"/>
      <c r="C3" s="132"/>
      <c r="D3" s="132"/>
      <c r="E3" s="132"/>
      <c r="F3" s="132"/>
      <c r="G3" s="132"/>
      <c r="H3" s="132"/>
      <c r="I3" s="132"/>
      <c r="J3" s="132"/>
      <c r="K3" s="132"/>
      <c r="L3" s="132"/>
      <c r="M3" s="132"/>
      <c r="N3" s="132"/>
      <c r="O3" s="132"/>
      <c r="P3" s="133"/>
    </row>
    <row r="4" spans="1:16" ht="12.75">
      <c r="A4" s="131"/>
      <c r="B4" s="132"/>
      <c r="C4" s="132"/>
      <c r="D4" s="132"/>
      <c r="E4" s="132"/>
      <c r="F4" s="132"/>
      <c r="G4" s="132"/>
      <c r="H4" s="132"/>
      <c r="I4" s="132"/>
      <c r="J4" s="132"/>
      <c r="K4" s="132"/>
      <c r="L4" s="132"/>
      <c r="M4" s="132"/>
      <c r="N4" s="132"/>
      <c r="O4" s="132"/>
      <c r="P4" s="133"/>
    </row>
    <row r="5" spans="1:16" ht="33.75">
      <c r="A5" s="191" t="str">
        <f>"Day Planner for "&amp;[0]!userDay&amp;", "&amp;[0]!userDayth&amp;" "&amp;[0]!userMonth&amp;" "&amp;[0]!userYear</f>
        <v>Day Planner for Wednesday, 12 March 2014</v>
      </c>
      <c r="B5" s="191"/>
      <c r="C5" s="191"/>
      <c r="D5" s="191"/>
      <c r="E5" s="191"/>
      <c r="F5" s="191"/>
      <c r="G5" s="191"/>
      <c r="H5" s="191"/>
      <c r="I5" s="191"/>
      <c r="J5" s="191"/>
      <c r="K5" s="191"/>
      <c r="L5" s="191"/>
      <c r="M5" s="191"/>
      <c r="N5" s="191"/>
      <c r="O5" s="191"/>
      <c r="P5" s="10"/>
    </row>
    <row r="6" spans="1:16" ht="12.75">
      <c r="A6" s="138"/>
      <c r="B6" s="138"/>
      <c r="C6" s="133"/>
      <c r="D6" s="133"/>
      <c r="E6" s="133"/>
      <c r="F6" s="133"/>
      <c r="G6" s="133"/>
      <c r="H6" s="133"/>
      <c r="I6" s="133"/>
      <c r="J6" s="133"/>
      <c r="K6" s="133"/>
      <c r="L6" s="133"/>
      <c r="M6" s="133"/>
      <c r="N6" s="133"/>
      <c r="O6" s="133"/>
      <c r="P6" s="133"/>
    </row>
    <row r="7" spans="1:16" ht="12.75">
      <c r="A7" s="136">
        <v>0</v>
      </c>
      <c r="B7" s="41"/>
      <c r="C7" s="137"/>
      <c r="D7" s="137"/>
      <c r="E7" s="137"/>
      <c r="F7" s="137"/>
      <c r="G7" s="137"/>
      <c r="H7" s="137"/>
      <c r="I7" s="137"/>
      <c r="J7" s="137"/>
      <c r="K7" s="137"/>
      <c r="L7" s="137"/>
      <c r="M7" s="137"/>
      <c r="N7" s="137"/>
      <c r="O7" s="137"/>
      <c r="P7" s="47"/>
    </row>
    <row r="8" spans="1:16" ht="12.75">
      <c r="A8" s="136">
        <v>0.010416666666666666</v>
      </c>
      <c r="B8" s="41"/>
      <c r="C8" s="137"/>
      <c r="D8" s="137"/>
      <c r="E8" s="137"/>
      <c r="F8" s="137"/>
      <c r="G8" s="137"/>
      <c r="H8" s="137"/>
      <c r="I8" s="137"/>
      <c r="J8" s="137"/>
      <c r="K8" s="137"/>
      <c r="L8" s="137"/>
      <c r="M8" s="137"/>
      <c r="N8" s="137"/>
      <c r="O8" s="137"/>
      <c r="P8" s="47"/>
    </row>
    <row r="9" spans="1:16" ht="12.75">
      <c r="A9" s="136">
        <v>0.020833333333333332</v>
      </c>
      <c r="B9" s="137"/>
      <c r="C9" s="137"/>
      <c r="D9" s="137"/>
      <c r="E9" s="137"/>
      <c r="F9" s="137"/>
      <c r="G9" s="137"/>
      <c r="H9" s="137"/>
      <c r="I9" s="137"/>
      <c r="J9" s="137"/>
      <c r="K9" s="137"/>
      <c r="L9" s="137"/>
      <c r="M9" s="137"/>
      <c r="N9" s="137"/>
      <c r="O9" s="137"/>
      <c r="P9" s="47"/>
    </row>
    <row r="10" spans="1:16" ht="12.75">
      <c r="A10" s="136">
        <v>0.03125</v>
      </c>
      <c r="B10" s="137"/>
      <c r="C10" s="137"/>
      <c r="D10" s="137"/>
      <c r="E10" s="137"/>
      <c r="F10" s="137"/>
      <c r="G10" s="137"/>
      <c r="H10" s="137"/>
      <c r="I10" s="137"/>
      <c r="J10" s="137"/>
      <c r="K10" s="137"/>
      <c r="L10" s="137"/>
      <c r="M10" s="137"/>
      <c r="N10" s="137"/>
      <c r="O10" s="137"/>
      <c r="P10" s="47"/>
    </row>
    <row r="11" spans="1:16" ht="12.75">
      <c r="A11" s="136">
        <v>0.0416666666666667</v>
      </c>
      <c r="B11" s="137"/>
      <c r="C11" s="137"/>
      <c r="D11" s="137"/>
      <c r="E11" s="137"/>
      <c r="F11" s="137"/>
      <c r="G11" s="137"/>
      <c r="H11" s="137"/>
      <c r="I11" s="137"/>
      <c r="J11" s="137"/>
      <c r="K11" s="137"/>
      <c r="L11" s="137"/>
      <c r="M11" s="137"/>
      <c r="N11" s="137"/>
      <c r="O11" s="137"/>
      <c r="P11" s="47"/>
    </row>
    <row r="12" spans="1:16" ht="12.75">
      <c r="A12" s="136">
        <v>0.0520833333333333</v>
      </c>
      <c r="B12" s="137"/>
      <c r="C12" s="137"/>
      <c r="D12" s="137"/>
      <c r="E12" s="137"/>
      <c r="F12" s="137"/>
      <c r="G12" s="137"/>
      <c r="H12" s="137"/>
      <c r="I12" s="137"/>
      <c r="J12" s="137"/>
      <c r="K12" s="137"/>
      <c r="L12" s="137"/>
      <c r="M12" s="137"/>
      <c r="N12" s="137"/>
      <c r="O12" s="137"/>
      <c r="P12" s="47"/>
    </row>
    <row r="13" spans="1:16" ht="12.75">
      <c r="A13" s="136">
        <v>0.0625</v>
      </c>
      <c r="B13" s="137"/>
      <c r="C13" s="137"/>
      <c r="D13" s="137"/>
      <c r="E13" s="137"/>
      <c r="F13" s="137"/>
      <c r="G13" s="137"/>
      <c r="H13" s="137"/>
      <c r="I13" s="137"/>
      <c r="J13" s="137"/>
      <c r="K13" s="137"/>
      <c r="L13" s="137"/>
      <c r="M13" s="137"/>
      <c r="N13" s="137"/>
      <c r="O13" s="137"/>
      <c r="P13" s="47"/>
    </row>
    <row r="14" spans="1:16" ht="12.75">
      <c r="A14" s="136">
        <v>0.0729166666666667</v>
      </c>
      <c r="B14" s="137"/>
      <c r="C14" s="137"/>
      <c r="D14" s="137"/>
      <c r="E14" s="137"/>
      <c r="F14" s="137"/>
      <c r="G14" s="137"/>
      <c r="H14" s="137"/>
      <c r="I14" s="137"/>
      <c r="J14" s="137"/>
      <c r="K14" s="137"/>
      <c r="L14" s="137"/>
      <c r="M14" s="137"/>
      <c r="N14" s="137"/>
      <c r="O14" s="137"/>
      <c r="P14" s="47"/>
    </row>
    <row r="15" spans="1:16" ht="12.75">
      <c r="A15" s="136">
        <v>0.0833333333333333</v>
      </c>
      <c r="B15" s="137"/>
      <c r="C15" s="137"/>
      <c r="D15" s="137"/>
      <c r="E15" s="137"/>
      <c r="F15" s="137"/>
      <c r="G15" s="137"/>
      <c r="H15" s="137"/>
      <c r="I15" s="137"/>
      <c r="J15" s="137"/>
      <c r="K15" s="137"/>
      <c r="L15" s="137"/>
      <c r="M15" s="137"/>
      <c r="N15" s="137"/>
      <c r="O15" s="137"/>
      <c r="P15" s="47"/>
    </row>
    <row r="16" spans="1:16" ht="12.75">
      <c r="A16" s="136">
        <v>0.09375</v>
      </c>
      <c r="B16" s="137"/>
      <c r="C16" s="137"/>
      <c r="D16" s="137"/>
      <c r="E16" s="137"/>
      <c r="F16" s="137"/>
      <c r="G16" s="137"/>
      <c r="H16" s="137"/>
      <c r="I16" s="137"/>
      <c r="J16" s="137"/>
      <c r="K16" s="137"/>
      <c r="L16" s="137"/>
      <c r="M16" s="137"/>
      <c r="N16" s="137"/>
      <c r="O16" s="137"/>
      <c r="P16" s="47"/>
    </row>
    <row r="17" spans="1:16" ht="12.75">
      <c r="A17" s="136">
        <v>0.104166666666667</v>
      </c>
      <c r="B17" s="137"/>
      <c r="C17" s="137"/>
      <c r="D17" s="137"/>
      <c r="E17" s="137"/>
      <c r="F17" s="137"/>
      <c r="G17" s="137"/>
      <c r="H17" s="137"/>
      <c r="I17" s="137"/>
      <c r="J17" s="137"/>
      <c r="K17" s="137"/>
      <c r="L17" s="137"/>
      <c r="M17" s="137"/>
      <c r="N17" s="137"/>
      <c r="O17" s="137"/>
      <c r="P17" s="47"/>
    </row>
    <row r="18" spans="1:16" ht="12.75">
      <c r="A18" s="136">
        <v>0.114583333333333</v>
      </c>
      <c r="B18" s="137"/>
      <c r="C18" s="137"/>
      <c r="D18" s="137"/>
      <c r="E18" s="137"/>
      <c r="F18" s="137"/>
      <c r="G18" s="137"/>
      <c r="H18" s="137"/>
      <c r="I18" s="137"/>
      <c r="J18" s="137"/>
      <c r="K18" s="137"/>
      <c r="L18" s="137"/>
      <c r="M18" s="137"/>
      <c r="N18" s="137"/>
      <c r="O18" s="137"/>
      <c r="P18" s="47"/>
    </row>
    <row r="19" spans="1:16" ht="12.75">
      <c r="A19" s="136">
        <v>0.125</v>
      </c>
      <c r="B19" s="137"/>
      <c r="C19" s="137"/>
      <c r="D19" s="137"/>
      <c r="E19" s="137"/>
      <c r="F19" s="137"/>
      <c r="G19" s="137"/>
      <c r="H19" s="137"/>
      <c r="I19" s="137"/>
      <c r="J19" s="137"/>
      <c r="K19" s="137"/>
      <c r="L19" s="137"/>
      <c r="M19" s="137"/>
      <c r="N19" s="137"/>
      <c r="O19" s="137"/>
      <c r="P19" s="47"/>
    </row>
    <row r="20" spans="1:16" ht="12.75">
      <c r="A20" s="136">
        <v>0.135416666666667</v>
      </c>
      <c r="B20" s="137"/>
      <c r="C20" s="137"/>
      <c r="D20" s="137"/>
      <c r="E20" s="137"/>
      <c r="F20" s="137"/>
      <c r="G20" s="137"/>
      <c r="H20" s="137"/>
      <c r="I20" s="137"/>
      <c r="J20" s="137"/>
      <c r="K20" s="137"/>
      <c r="L20" s="137"/>
      <c r="M20" s="137"/>
      <c r="N20" s="137"/>
      <c r="O20" s="137"/>
      <c r="P20" s="47"/>
    </row>
    <row r="21" spans="1:16" ht="12.75">
      <c r="A21" s="136">
        <v>0.145833333333333</v>
      </c>
      <c r="B21" s="137"/>
      <c r="C21" s="137"/>
      <c r="D21" s="137"/>
      <c r="E21" s="137"/>
      <c r="F21" s="137"/>
      <c r="G21" s="137"/>
      <c r="H21" s="137"/>
      <c r="I21" s="137"/>
      <c r="J21" s="137"/>
      <c r="K21" s="137"/>
      <c r="L21" s="137"/>
      <c r="M21" s="137"/>
      <c r="N21" s="137"/>
      <c r="O21" s="137"/>
      <c r="P21" s="47"/>
    </row>
    <row r="22" spans="1:16" ht="12.75">
      <c r="A22" s="136">
        <v>0.15625</v>
      </c>
      <c r="B22" s="137"/>
      <c r="C22" s="137"/>
      <c r="D22" s="137"/>
      <c r="E22" s="137"/>
      <c r="F22" s="137"/>
      <c r="G22" s="137"/>
      <c r="H22" s="137"/>
      <c r="I22" s="137"/>
      <c r="J22" s="137"/>
      <c r="K22" s="137"/>
      <c r="L22" s="137"/>
      <c r="M22" s="137"/>
      <c r="N22" s="137"/>
      <c r="O22" s="137"/>
      <c r="P22" s="47"/>
    </row>
    <row r="23" spans="1:16" ht="12.75">
      <c r="A23" s="136">
        <v>0.166666666666667</v>
      </c>
      <c r="B23" s="137"/>
      <c r="C23" s="137"/>
      <c r="D23" s="137"/>
      <c r="E23" s="137"/>
      <c r="F23" s="137"/>
      <c r="G23" s="137"/>
      <c r="H23" s="137"/>
      <c r="I23" s="137"/>
      <c r="J23" s="137"/>
      <c r="K23" s="137"/>
      <c r="L23" s="137"/>
      <c r="M23" s="137"/>
      <c r="N23" s="137"/>
      <c r="O23" s="137"/>
      <c r="P23" s="47"/>
    </row>
    <row r="24" spans="1:16" ht="12.75">
      <c r="A24" s="136">
        <v>0.177083333333333</v>
      </c>
      <c r="B24" s="137"/>
      <c r="C24" s="137"/>
      <c r="D24" s="137"/>
      <c r="E24" s="137"/>
      <c r="F24" s="137"/>
      <c r="G24" s="137"/>
      <c r="H24" s="137"/>
      <c r="I24" s="137"/>
      <c r="J24" s="137"/>
      <c r="K24" s="137"/>
      <c r="L24" s="137"/>
      <c r="M24" s="137"/>
      <c r="N24" s="137"/>
      <c r="O24" s="137"/>
      <c r="P24" s="47"/>
    </row>
    <row r="25" spans="1:19" ht="12.75">
      <c r="A25" s="136">
        <v>0.1875</v>
      </c>
      <c r="B25" s="41"/>
      <c r="C25" s="137"/>
      <c r="D25" s="137"/>
      <c r="E25" s="137"/>
      <c r="F25" s="137"/>
      <c r="G25" s="137"/>
      <c r="H25" s="137"/>
      <c r="I25" s="137"/>
      <c r="J25" s="137"/>
      <c r="K25" s="137"/>
      <c r="L25" s="137"/>
      <c r="M25" s="137"/>
      <c r="N25" s="137"/>
      <c r="O25" s="137"/>
      <c r="P25" s="47"/>
      <c r="Q25" s="22"/>
      <c r="R25" s="22"/>
      <c r="S25" s="22"/>
    </row>
    <row r="26" spans="1:16" ht="12.75">
      <c r="A26" s="136">
        <v>0.197916666666667</v>
      </c>
      <c r="B26" s="137"/>
      <c r="C26" s="137"/>
      <c r="D26" s="137"/>
      <c r="E26" s="137"/>
      <c r="F26" s="137"/>
      <c r="G26" s="137"/>
      <c r="H26" s="137"/>
      <c r="I26" s="137"/>
      <c r="J26" s="137"/>
      <c r="K26" s="137"/>
      <c r="L26" s="137"/>
      <c r="M26" s="137"/>
      <c r="N26" s="137"/>
      <c r="O26" s="137"/>
      <c r="P26" s="47"/>
    </row>
    <row r="27" spans="1:16" ht="12.75">
      <c r="A27" s="136">
        <v>0.208333333333333</v>
      </c>
      <c r="B27" s="137"/>
      <c r="C27" s="137"/>
      <c r="D27" s="137"/>
      <c r="E27" s="137"/>
      <c r="F27" s="137"/>
      <c r="G27" s="137"/>
      <c r="H27" s="137"/>
      <c r="I27" s="137"/>
      <c r="J27" s="137"/>
      <c r="K27" s="137"/>
      <c r="L27" s="137"/>
      <c r="M27" s="137"/>
      <c r="N27" s="137"/>
      <c r="O27" s="137"/>
      <c r="P27" s="47"/>
    </row>
    <row r="28" spans="1:16" ht="12.75">
      <c r="A28" s="136">
        <v>0.21875</v>
      </c>
      <c r="B28" s="137"/>
      <c r="C28" s="137"/>
      <c r="D28" s="137"/>
      <c r="E28" s="137"/>
      <c r="F28" s="137"/>
      <c r="G28" s="137"/>
      <c r="H28" s="137"/>
      <c r="I28" s="137"/>
      <c r="J28" s="137"/>
      <c r="K28" s="137"/>
      <c r="L28" s="137"/>
      <c r="M28" s="137"/>
      <c r="N28" s="137"/>
      <c r="O28" s="137"/>
      <c r="P28" s="47"/>
    </row>
    <row r="29" spans="1:16" ht="12.75">
      <c r="A29" s="136">
        <v>0.229166666666667</v>
      </c>
      <c r="B29" s="137"/>
      <c r="C29" s="137"/>
      <c r="D29" s="137"/>
      <c r="E29" s="137"/>
      <c r="F29" s="137"/>
      <c r="G29" s="137"/>
      <c r="H29" s="137"/>
      <c r="I29" s="137"/>
      <c r="J29" s="137"/>
      <c r="K29" s="137"/>
      <c r="L29" s="137"/>
      <c r="M29" s="137"/>
      <c r="N29" s="137"/>
      <c r="O29" s="137"/>
      <c r="P29" s="47"/>
    </row>
    <row r="30" spans="1:16" ht="12.75">
      <c r="A30" s="136">
        <v>0.239583333333333</v>
      </c>
      <c r="B30" s="137"/>
      <c r="C30" s="137"/>
      <c r="D30" s="137"/>
      <c r="E30" s="137"/>
      <c r="F30" s="137"/>
      <c r="G30" s="137"/>
      <c r="H30" s="137"/>
      <c r="I30" s="137"/>
      <c r="J30" s="137"/>
      <c r="K30" s="137"/>
      <c r="L30" s="137"/>
      <c r="M30" s="137"/>
      <c r="N30" s="137"/>
      <c r="O30" s="137"/>
      <c r="P30" s="47"/>
    </row>
    <row r="31" spans="1:16" ht="12.75">
      <c r="A31" s="136">
        <v>0.25</v>
      </c>
      <c r="B31" s="137"/>
      <c r="C31" s="137"/>
      <c r="D31" s="137"/>
      <c r="E31" s="137"/>
      <c r="F31" s="137"/>
      <c r="G31" s="137"/>
      <c r="H31" s="137"/>
      <c r="I31" s="137"/>
      <c r="J31" s="137"/>
      <c r="K31" s="137"/>
      <c r="L31" s="137"/>
      <c r="M31" s="137"/>
      <c r="N31" s="137"/>
      <c r="O31" s="137"/>
      <c r="P31" s="47"/>
    </row>
    <row r="32" spans="1:16" ht="12.75">
      <c r="A32" s="136">
        <v>0.260416666666667</v>
      </c>
      <c r="B32" s="137"/>
      <c r="C32" s="137"/>
      <c r="D32" s="137"/>
      <c r="E32" s="137"/>
      <c r="F32" s="137"/>
      <c r="G32" s="137"/>
      <c r="H32" s="137"/>
      <c r="I32" s="137"/>
      <c r="J32" s="137"/>
      <c r="K32" s="137"/>
      <c r="L32" s="137"/>
      <c r="M32" s="137"/>
      <c r="N32" s="137"/>
      <c r="O32" s="137"/>
      <c r="P32" s="47"/>
    </row>
    <row r="33" spans="1:16" ht="12.75">
      <c r="A33" s="136">
        <v>0.270833333333333</v>
      </c>
      <c r="B33" s="137"/>
      <c r="C33" s="137"/>
      <c r="D33" s="137"/>
      <c r="E33" s="137"/>
      <c r="F33" s="137"/>
      <c r="G33" s="137"/>
      <c r="H33" s="137"/>
      <c r="I33" s="137"/>
      <c r="J33" s="137"/>
      <c r="K33" s="137"/>
      <c r="L33" s="137"/>
      <c r="M33" s="137"/>
      <c r="N33" s="137"/>
      <c r="O33" s="137"/>
      <c r="P33" s="47"/>
    </row>
    <row r="34" spans="1:16" ht="12.75">
      <c r="A34" s="136">
        <v>0.28125</v>
      </c>
      <c r="B34" s="137"/>
      <c r="C34" s="137"/>
      <c r="D34" s="137"/>
      <c r="E34" s="137"/>
      <c r="F34" s="137"/>
      <c r="G34" s="137"/>
      <c r="H34" s="137"/>
      <c r="I34" s="137"/>
      <c r="J34" s="137"/>
      <c r="K34" s="137"/>
      <c r="L34" s="137"/>
      <c r="M34" s="137"/>
      <c r="N34" s="137"/>
      <c r="O34" s="137"/>
      <c r="P34" s="47"/>
    </row>
    <row r="35" spans="1:16" ht="12.75">
      <c r="A35" s="136">
        <v>0.291666666666667</v>
      </c>
      <c r="B35" s="137"/>
      <c r="C35" s="137"/>
      <c r="D35" s="137"/>
      <c r="E35" s="137"/>
      <c r="F35" s="137"/>
      <c r="G35" s="137"/>
      <c r="H35" s="137"/>
      <c r="I35" s="137"/>
      <c r="J35" s="137"/>
      <c r="K35" s="137"/>
      <c r="L35" s="137"/>
      <c r="M35" s="137"/>
      <c r="N35" s="137"/>
      <c r="O35" s="137"/>
      <c r="P35" s="47"/>
    </row>
    <row r="36" spans="1:16" ht="12.75">
      <c r="A36" s="136">
        <v>0.302083333333333</v>
      </c>
      <c r="B36" s="137"/>
      <c r="C36" s="137"/>
      <c r="D36" s="137"/>
      <c r="E36" s="137"/>
      <c r="F36" s="137"/>
      <c r="G36" s="137"/>
      <c r="H36" s="137"/>
      <c r="I36" s="137"/>
      <c r="J36" s="137"/>
      <c r="K36" s="137"/>
      <c r="L36" s="137"/>
      <c r="M36" s="137"/>
      <c r="N36" s="137"/>
      <c r="O36" s="137"/>
      <c r="P36" s="47"/>
    </row>
    <row r="37" spans="1:16" ht="12.75">
      <c r="A37" s="136">
        <v>0.3125</v>
      </c>
      <c r="B37" s="137"/>
      <c r="C37" s="137"/>
      <c r="D37" s="137"/>
      <c r="E37" s="137"/>
      <c r="F37" s="137"/>
      <c r="G37" s="137"/>
      <c r="H37" s="137"/>
      <c r="I37" s="137"/>
      <c r="J37" s="137"/>
      <c r="K37" s="137"/>
      <c r="L37" s="137"/>
      <c r="M37" s="137"/>
      <c r="N37" s="137"/>
      <c r="O37" s="137"/>
      <c r="P37" s="47"/>
    </row>
    <row r="38" spans="1:16" ht="12.75">
      <c r="A38" s="136">
        <v>0.322916666666667</v>
      </c>
      <c r="B38" s="137"/>
      <c r="C38" s="137"/>
      <c r="D38" s="137"/>
      <c r="E38" s="137"/>
      <c r="F38" s="137"/>
      <c r="G38" s="137"/>
      <c r="H38" s="137"/>
      <c r="I38" s="137"/>
      <c r="J38" s="137"/>
      <c r="K38" s="137"/>
      <c r="L38" s="137"/>
      <c r="M38" s="137"/>
      <c r="N38" s="137"/>
      <c r="O38" s="137"/>
      <c r="P38" s="47"/>
    </row>
    <row r="39" spans="1:16" ht="12.75">
      <c r="A39" s="136">
        <v>0.333333333333333</v>
      </c>
      <c r="B39" s="137"/>
      <c r="C39" s="137"/>
      <c r="D39" s="137"/>
      <c r="E39" s="137"/>
      <c r="F39" s="137"/>
      <c r="G39" s="137"/>
      <c r="H39" s="137"/>
      <c r="I39" s="137"/>
      <c r="J39" s="137"/>
      <c r="K39" s="137"/>
      <c r="L39" s="137"/>
      <c r="M39" s="137"/>
      <c r="N39" s="137"/>
      <c r="O39" s="137"/>
      <c r="P39" s="47"/>
    </row>
    <row r="40" spans="1:16" ht="12.75">
      <c r="A40" s="136">
        <v>0.34375</v>
      </c>
      <c r="B40" s="137"/>
      <c r="C40" s="137"/>
      <c r="D40" s="137"/>
      <c r="E40" s="137"/>
      <c r="F40" s="137"/>
      <c r="G40" s="137"/>
      <c r="H40" s="137"/>
      <c r="I40" s="137"/>
      <c r="J40" s="137"/>
      <c r="K40" s="137"/>
      <c r="L40" s="137"/>
      <c r="M40" s="137"/>
      <c r="N40" s="137"/>
      <c r="O40" s="137"/>
      <c r="P40" s="47"/>
    </row>
    <row r="41" spans="1:16" ht="12.75">
      <c r="A41" s="136">
        <v>0.354166666666667</v>
      </c>
      <c r="B41" s="137"/>
      <c r="C41" s="137"/>
      <c r="D41" s="137"/>
      <c r="E41" s="137"/>
      <c r="F41" s="137"/>
      <c r="G41" s="137"/>
      <c r="H41" s="137"/>
      <c r="I41" s="137"/>
      <c r="J41" s="137"/>
      <c r="K41" s="137"/>
      <c r="L41" s="137"/>
      <c r="M41" s="137"/>
      <c r="N41" s="137"/>
      <c r="O41" s="137"/>
      <c r="P41" s="47"/>
    </row>
    <row r="42" spans="1:16" ht="12.75">
      <c r="A42" s="136">
        <v>0.364583333333333</v>
      </c>
      <c r="B42" s="137"/>
      <c r="C42" s="137"/>
      <c r="D42" s="137"/>
      <c r="E42" s="137"/>
      <c r="F42" s="137"/>
      <c r="G42" s="137"/>
      <c r="H42" s="137"/>
      <c r="I42" s="137"/>
      <c r="J42" s="137"/>
      <c r="K42" s="137"/>
      <c r="L42" s="137"/>
      <c r="M42" s="137"/>
      <c r="N42" s="137"/>
      <c r="O42" s="137"/>
      <c r="P42" s="47"/>
    </row>
    <row r="43" spans="1:28" ht="12.75">
      <c r="A43" s="136">
        <v>0.375</v>
      </c>
      <c r="B43" s="41"/>
      <c r="C43" s="137"/>
      <c r="D43" s="137"/>
      <c r="E43" s="137"/>
      <c r="F43" s="137"/>
      <c r="G43" s="137"/>
      <c r="H43" s="137"/>
      <c r="I43" s="137"/>
      <c r="J43" s="137"/>
      <c r="K43" s="137"/>
      <c r="L43" s="137"/>
      <c r="M43" s="137"/>
      <c r="N43" s="137"/>
      <c r="O43" s="137"/>
      <c r="P43" s="47"/>
      <c r="Q43" s="22"/>
      <c r="R43" s="22"/>
      <c r="S43" s="22"/>
      <c r="T43" s="22"/>
      <c r="U43" s="22"/>
      <c r="V43" s="22"/>
      <c r="W43" s="22"/>
      <c r="X43" s="22"/>
      <c r="Y43" s="22"/>
      <c r="Z43" s="22"/>
      <c r="AA43" s="22"/>
      <c r="AB43" s="22"/>
    </row>
    <row r="44" spans="1:16" ht="12.75">
      <c r="A44" s="136">
        <v>0.385416666666667</v>
      </c>
      <c r="B44" s="137"/>
      <c r="C44" s="137"/>
      <c r="D44" s="137"/>
      <c r="E44" s="137"/>
      <c r="F44" s="137"/>
      <c r="G44" s="137"/>
      <c r="H44" s="137"/>
      <c r="I44" s="137"/>
      <c r="J44" s="137"/>
      <c r="K44" s="137"/>
      <c r="L44" s="137"/>
      <c r="M44" s="137"/>
      <c r="N44" s="137"/>
      <c r="O44" s="137"/>
      <c r="P44" s="47"/>
    </row>
    <row r="45" spans="1:16" ht="12.75">
      <c r="A45" s="136">
        <v>0.395833333333333</v>
      </c>
      <c r="B45" s="137"/>
      <c r="C45" s="137"/>
      <c r="D45" s="137"/>
      <c r="E45" s="137"/>
      <c r="F45" s="137"/>
      <c r="G45" s="137"/>
      <c r="H45" s="137"/>
      <c r="I45" s="137"/>
      <c r="J45" s="137"/>
      <c r="K45" s="137"/>
      <c r="L45" s="137"/>
      <c r="M45" s="137"/>
      <c r="N45" s="137"/>
      <c r="O45" s="137"/>
      <c r="P45" s="47"/>
    </row>
    <row r="46" spans="1:16" ht="12.75">
      <c r="A46" s="136">
        <v>0.40625</v>
      </c>
      <c r="B46" s="137"/>
      <c r="C46" s="137"/>
      <c r="D46" s="137"/>
      <c r="E46" s="137"/>
      <c r="F46" s="137"/>
      <c r="G46" s="137"/>
      <c r="H46" s="137"/>
      <c r="I46" s="137"/>
      <c r="J46" s="137"/>
      <c r="K46" s="137"/>
      <c r="L46" s="137"/>
      <c r="M46" s="137"/>
      <c r="N46" s="137"/>
      <c r="O46" s="137"/>
      <c r="P46" s="47"/>
    </row>
    <row r="47" spans="1:16" ht="12.75">
      <c r="A47" s="136">
        <v>0.416666666666667</v>
      </c>
      <c r="B47" s="137"/>
      <c r="C47" s="137"/>
      <c r="D47" s="137"/>
      <c r="E47" s="137"/>
      <c r="F47" s="137"/>
      <c r="G47" s="137"/>
      <c r="H47" s="137"/>
      <c r="I47" s="137"/>
      <c r="J47" s="137"/>
      <c r="K47" s="137"/>
      <c r="L47" s="137"/>
      <c r="M47" s="137"/>
      <c r="N47" s="137"/>
      <c r="O47" s="137"/>
      <c r="P47" s="47"/>
    </row>
    <row r="48" spans="1:16" ht="12.75">
      <c r="A48" s="136">
        <v>0.427083333333333</v>
      </c>
      <c r="B48" s="137"/>
      <c r="C48" s="137"/>
      <c r="D48" s="137"/>
      <c r="E48" s="137"/>
      <c r="F48" s="137"/>
      <c r="G48" s="137"/>
      <c r="H48" s="137"/>
      <c r="I48" s="137"/>
      <c r="J48" s="137"/>
      <c r="K48" s="137"/>
      <c r="L48" s="137"/>
      <c r="M48" s="137"/>
      <c r="N48" s="137"/>
      <c r="O48" s="137"/>
      <c r="P48" s="47"/>
    </row>
    <row r="49" spans="1:16" ht="12.75">
      <c r="A49" s="136">
        <v>0.4375</v>
      </c>
      <c r="B49" s="137"/>
      <c r="C49" s="137"/>
      <c r="D49" s="137"/>
      <c r="E49" s="137"/>
      <c r="F49" s="137"/>
      <c r="G49" s="137"/>
      <c r="H49" s="137"/>
      <c r="I49" s="137"/>
      <c r="J49" s="137"/>
      <c r="K49" s="137"/>
      <c r="L49" s="137"/>
      <c r="M49" s="137"/>
      <c r="N49" s="137"/>
      <c r="O49" s="137"/>
      <c r="P49" s="47"/>
    </row>
    <row r="50" spans="1:16" ht="12.75">
      <c r="A50" s="136">
        <v>0.447916666666667</v>
      </c>
      <c r="B50" s="137"/>
      <c r="C50" s="137"/>
      <c r="D50" s="137"/>
      <c r="E50" s="137"/>
      <c r="F50" s="137"/>
      <c r="G50" s="137"/>
      <c r="H50" s="137"/>
      <c r="I50" s="137"/>
      <c r="J50" s="137"/>
      <c r="K50" s="137"/>
      <c r="L50" s="137"/>
      <c r="M50" s="137"/>
      <c r="N50" s="137"/>
      <c r="O50" s="137"/>
      <c r="P50" s="47"/>
    </row>
    <row r="51" spans="1:16" ht="12.75">
      <c r="A51" s="136">
        <v>0.458333333333333</v>
      </c>
      <c r="B51" s="137"/>
      <c r="C51" s="137"/>
      <c r="D51" s="137"/>
      <c r="E51" s="137"/>
      <c r="F51" s="137"/>
      <c r="G51" s="137"/>
      <c r="H51" s="137"/>
      <c r="I51" s="137"/>
      <c r="J51" s="137"/>
      <c r="K51" s="137"/>
      <c r="L51" s="137"/>
      <c r="M51" s="137"/>
      <c r="N51" s="137"/>
      <c r="O51" s="137"/>
      <c r="P51" s="47"/>
    </row>
    <row r="52" spans="1:16" ht="12.75">
      <c r="A52" s="136">
        <v>0.46875</v>
      </c>
      <c r="B52" s="137"/>
      <c r="C52" s="137"/>
      <c r="D52" s="137"/>
      <c r="E52" s="137"/>
      <c r="F52" s="137"/>
      <c r="G52" s="137"/>
      <c r="H52" s="137"/>
      <c r="I52" s="137"/>
      <c r="J52" s="137"/>
      <c r="K52" s="137"/>
      <c r="L52" s="137"/>
      <c r="M52" s="137"/>
      <c r="N52" s="137"/>
      <c r="O52" s="137"/>
      <c r="P52" s="47"/>
    </row>
    <row r="53" spans="1:16" ht="12.75">
      <c r="A53" s="136">
        <v>0.479166666666667</v>
      </c>
      <c r="B53" s="137"/>
      <c r="C53" s="137"/>
      <c r="D53" s="137"/>
      <c r="E53" s="137"/>
      <c r="F53" s="137"/>
      <c r="G53" s="137"/>
      <c r="H53" s="137"/>
      <c r="I53" s="137"/>
      <c r="J53" s="137"/>
      <c r="K53" s="137"/>
      <c r="L53" s="137"/>
      <c r="M53" s="137"/>
      <c r="N53" s="137"/>
      <c r="O53" s="137"/>
      <c r="P53" s="47"/>
    </row>
    <row r="54" spans="1:16" ht="12.75">
      <c r="A54" s="136">
        <v>0.489583333333333</v>
      </c>
      <c r="B54" s="137"/>
      <c r="C54" s="137"/>
      <c r="D54" s="137"/>
      <c r="E54" s="137"/>
      <c r="F54" s="137"/>
      <c r="G54" s="137"/>
      <c r="H54" s="137"/>
      <c r="I54" s="137"/>
      <c r="J54" s="137"/>
      <c r="K54" s="137"/>
      <c r="L54" s="137"/>
      <c r="M54" s="137"/>
      <c r="N54" s="137"/>
      <c r="O54" s="137"/>
      <c r="P54" s="47"/>
    </row>
    <row r="55" spans="1:16" ht="12.75">
      <c r="A55" s="136">
        <v>0.5</v>
      </c>
      <c r="B55" s="137"/>
      <c r="C55" s="137"/>
      <c r="D55" s="137"/>
      <c r="E55" s="137"/>
      <c r="F55" s="137"/>
      <c r="G55" s="137"/>
      <c r="H55" s="137"/>
      <c r="I55" s="137"/>
      <c r="J55" s="137"/>
      <c r="K55" s="137"/>
      <c r="L55" s="137"/>
      <c r="M55" s="137"/>
      <c r="N55" s="137"/>
      <c r="O55" s="137"/>
      <c r="P55" s="47"/>
    </row>
    <row r="56" spans="1:16" ht="12.75">
      <c r="A56" s="136">
        <v>0.510416666666667</v>
      </c>
      <c r="B56" s="137"/>
      <c r="C56" s="137"/>
      <c r="D56" s="137"/>
      <c r="E56" s="137"/>
      <c r="F56" s="137"/>
      <c r="G56" s="137"/>
      <c r="H56" s="137"/>
      <c r="I56" s="137"/>
      <c r="J56" s="137"/>
      <c r="K56" s="137"/>
      <c r="L56" s="137"/>
      <c r="M56" s="137"/>
      <c r="N56" s="137"/>
      <c r="O56" s="137"/>
      <c r="P56" s="47"/>
    </row>
    <row r="57" spans="1:16" ht="12.75">
      <c r="A57" s="136">
        <v>0.520833333333333</v>
      </c>
      <c r="B57" s="137"/>
      <c r="C57" s="137"/>
      <c r="D57" s="137"/>
      <c r="E57" s="137"/>
      <c r="F57" s="137"/>
      <c r="G57" s="137"/>
      <c r="H57" s="137"/>
      <c r="I57" s="137"/>
      <c r="J57" s="137"/>
      <c r="K57" s="137"/>
      <c r="L57" s="137"/>
      <c r="M57" s="137"/>
      <c r="N57" s="137"/>
      <c r="O57" s="137"/>
      <c r="P57" s="47"/>
    </row>
    <row r="58" spans="1:16" ht="12.75">
      <c r="A58" s="136">
        <v>0.53125</v>
      </c>
      <c r="B58" s="137"/>
      <c r="C58" s="137"/>
      <c r="D58" s="137"/>
      <c r="E58" s="137"/>
      <c r="F58" s="137"/>
      <c r="G58" s="137"/>
      <c r="H58" s="137"/>
      <c r="I58" s="137"/>
      <c r="J58" s="137"/>
      <c r="K58" s="137"/>
      <c r="L58" s="137"/>
      <c r="M58" s="137"/>
      <c r="N58" s="137"/>
      <c r="O58" s="137"/>
      <c r="P58" s="47"/>
    </row>
    <row r="59" spans="1:16" ht="12.75">
      <c r="A59" s="136">
        <v>0.541666666666667</v>
      </c>
      <c r="B59" s="137"/>
      <c r="C59" s="137"/>
      <c r="D59" s="137"/>
      <c r="E59" s="137"/>
      <c r="F59" s="137"/>
      <c r="G59" s="137"/>
      <c r="H59" s="137"/>
      <c r="I59" s="137"/>
      <c r="J59" s="137"/>
      <c r="K59" s="137"/>
      <c r="L59" s="137"/>
      <c r="M59" s="137"/>
      <c r="N59" s="137"/>
      <c r="O59" s="137"/>
      <c r="P59" s="47"/>
    </row>
    <row r="60" spans="1:16" ht="12.75">
      <c r="A60" s="136">
        <v>0.552083333333333</v>
      </c>
      <c r="B60" s="137"/>
      <c r="C60" s="137"/>
      <c r="D60" s="137"/>
      <c r="E60" s="137"/>
      <c r="F60" s="137"/>
      <c r="G60" s="137"/>
      <c r="H60" s="137"/>
      <c r="I60" s="137"/>
      <c r="J60" s="137"/>
      <c r="K60" s="137"/>
      <c r="L60" s="137"/>
      <c r="M60" s="137"/>
      <c r="N60" s="137"/>
      <c r="O60" s="137"/>
      <c r="P60" s="47"/>
    </row>
    <row r="61" spans="1:16" ht="12.75">
      <c r="A61" s="136">
        <v>0.5625</v>
      </c>
      <c r="B61" s="137"/>
      <c r="C61" s="137"/>
      <c r="D61" s="137"/>
      <c r="E61" s="137"/>
      <c r="F61" s="137"/>
      <c r="G61" s="137"/>
      <c r="H61" s="137"/>
      <c r="I61" s="137"/>
      <c r="J61" s="137"/>
      <c r="K61" s="137"/>
      <c r="L61" s="137"/>
      <c r="M61" s="137"/>
      <c r="N61" s="137"/>
      <c r="O61" s="137"/>
      <c r="P61" s="47"/>
    </row>
    <row r="62" spans="1:16" ht="12.75">
      <c r="A62" s="136">
        <v>0.572916666666667</v>
      </c>
      <c r="B62" s="137"/>
      <c r="C62" s="137"/>
      <c r="D62" s="137"/>
      <c r="E62" s="137"/>
      <c r="F62" s="137"/>
      <c r="G62" s="137"/>
      <c r="H62" s="137"/>
      <c r="I62" s="137"/>
      <c r="J62" s="137"/>
      <c r="K62" s="137"/>
      <c r="L62" s="137"/>
      <c r="M62" s="137"/>
      <c r="N62" s="137"/>
      <c r="O62" s="137"/>
      <c r="P62" s="47"/>
    </row>
    <row r="63" spans="1:16" ht="12.75">
      <c r="A63" s="136">
        <v>0.583333333333333</v>
      </c>
      <c r="B63" s="137"/>
      <c r="C63" s="137"/>
      <c r="D63" s="137"/>
      <c r="E63" s="137"/>
      <c r="F63" s="137"/>
      <c r="G63" s="137"/>
      <c r="H63" s="137"/>
      <c r="I63" s="137"/>
      <c r="J63" s="137"/>
      <c r="K63" s="137"/>
      <c r="L63" s="137"/>
      <c r="M63" s="137"/>
      <c r="N63" s="137"/>
      <c r="O63" s="137"/>
      <c r="P63" s="47"/>
    </row>
    <row r="64" spans="1:16" ht="12.75">
      <c r="A64" s="136">
        <v>0.59375</v>
      </c>
      <c r="B64" s="137"/>
      <c r="C64" s="137"/>
      <c r="D64" s="137"/>
      <c r="E64" s="137"/>
      <c r="F64" s="137"/>
      <c r="G64" s="137"/>
      <c r="H64" s="137"/>
      <c r="I64" s="137"/>
      <c r="J64" s="137"/>
      <c r="K64" s="137"/>
      <c r="L64" s="137"/>
      <c r="M64" s="137"/>
      <c r="N64" s="137"/>
      <c r="O64" s="137"/>
      <c r="P64" s="47"/>
    </row>
    <row r="65" spans="1:16" ht="12.75">
      <c r="A65" s="136">
        <v>0.604166666666667</v>
      </c>
      <c r="B65" s="137"/>
      <c r="C65" s="137"/>
      <c r="D65" s="137"/>
      <c r="E65" s="137"/>
      <c r="F65" s="137"/>
      <c r="G65" s="137"/>
      <c r="H65" s="137"/>
      <c r="I65" s="137"/>
      <c r="J65" s="137"/>
      <c r="K65" s="137"/>
      <c r="L65" s="137"/>
      <c r="M65" s="137"/>
      <c r="N65" s="137"/>
      <c r="O65" s="137"/>
      <c r="P65" s="47"/>
    </row>
    <row r="66" spans="1:16" ht="12.75">
      <c r="A66" s="136">
        <v>0.614583333333333</v>
      </c>
      <c r="B66" s="137"/>
      <c r="C66" s="137"/>
      <c r="D66" s="137"/>
      <c r="E66" s="137"/>
      <c r="F66" s="137"/>
      <c r="G66" s="137"/>
      <c r="H66" s="137"/>
      <c r="I66" s="137"/>
      <c r="J66" s="137"/>
      <c r="K66" s="137"/>
      <c r="L66" s="137"/>
      <c r="M66" s="137"/>
      <c r="N66" s="137"/>
      <c r="O66" s="137"/>
      <c r="P66" s="47"/>
    </row>
    <row r="67" spans="1:16" ht="12.75">
      <c r="A67" s="136">
        <v>0.625</v>
      </c>
      <c r="B67" s="137"/>
      <c r="C67" s="137"/>
      <c r="D67" s="137"/>
      <c r="E67" s="137"/>
      <c r="F67" s="137"/>
      <c r="G67" s="137"/>
      <c r="H67" s="137"/>
      <c r="I67" s="137"/>
      <c r="J67" s="137"/>
      <c r="K67" s="137"/>
      <c r="L67" s="137"/>
      <c r="M67" s="137"/>
      <c r="N67" s="137"/>
      <c r="O67" s="137"/>
      <c r="P67" s="47"/>
    </row>
    <row r="68" spans="1:16" ht="12.75">
      <c r="A68" s="136">
        <v>0.635416666666667</v>
      </c>
      <c r="B68" s="137"/>
      <c r="C68" s="137"/>
      <c r="D68" s="137"/>
      <c r="E68" s="137"/>
      <c r="F68" s="137"/>
      <c r="G68" s="137"/>
      <c r="H68" s="137"/>
      <c r="I68" s="137"/>
      <c r="J68" s="137"/>
      <c r="K68" s="137"/>
      <c r="L68" s="137"/>
      <c r="M68" s="137"/>
      <c r="N68" s="137"/>
      <c r="O68" s="137"/>
      <c r="P68" s="47"/>
    </row>
    <row r="69" spans="1:16" ht="12.75">
      <c r="A69" s="136">
        <v>0.645833333333333</v>
      </c>
      <c r="B69" s="137"/>
      <c r="C69" s="137"/>
      <c r="D69" s="137"/>
      <c r="E69" s="137"/>
      <c r="F69" s="137"/>
      <c r="G69" s="137"/>
      <c r="H69" s="137"/>
      <c r="I69" s="137"/>
      <c r="J69" s="137"/>
      <c r="K69" s="137"/>
      <c r="L69" s="137"/>
      <c r="M69" s="137"/>
      <c r="N69" s="137"/>
      <c r="O69" s="137"/>
      <c r="P69" s="47"/>
    </row>
    <row r="70" spans="1:16" ht="12.75">
      <c r="A70" s="136">
        <v>0.65625</v>
      </c>
      <c r="B70" s="137"/>
      <c r="C70" s="137"/>
      <c r="D70" s="137"/>
      <c r="E70" s="137"/>
      <c r="F70" s="137"/>
      <c r="G70" s="137"/>
      <c r="H70" s="137"/>
      <c r="I70" s="137"/>
      <c r="J70" s="137"/>
      <c r="K70" s="137"/>
      <c r="L70" s="137"/>
      <c r="M70" s="137"/>
      <c r="N70" s="137"/>
      <c r="O70" s="137"/>
      <c r="P70" s="47"/>
    </row>
    <row r="71" spans="1:16" ht="12.75">
      <c r="A71" s="136">
        <v>0.666666666666667</v>
      </c>
      <c r="B71" s="137"/>
      <c r="C71" s="137"/>
      <c r="D71" s="137"/>
      <c r="E71" s="137"/>
      <c r="F71" s="137"/>
      <c r="G71" s="137"/>
      <c r="H71" s="137"/>
      <c r="I71" s="137"/>
      <c r="J71" s="137"/>
      <c r="K71" s="137"/>
      <c r="L71" s="137"/>
      <c r="M71" s="137"/>
      <c r="N71" s="137"/>
      <c r="O71" s="137"/>
      <c r="P71" s="47"/>
    </row>
    <row r="72" spans="1:16" ht="12.75">
      <c r="A72" s="136">
        <v>0.677083333333333</v>
      </c>
      <c r="B72" s="137"/>
      <c r="C72" s="137"/>
      <c r="D72" s="137"/>
      <c r="E72" s="137"/>
      <c r="F72" s="137"/>
      <c r="G72" s="137"/>
      <c r="H72" s="137"/>
      <c r="I72" s="137"/>
      <c r="J72" s="137"/>
      <c r="K72" s="137"/>
      <c r="L72" s="137"/>
      <c r="M72" s="137"/>
      <c r="N72" s="137"/>
      <c r="O72" s="137"/>
      <c r="P72" s="47"/>
    </row>
    <row r="73" spans="1:16" ht="12.75">
      <c r="A73" s="136">
        <v>0.6875</v>
      </c>
      <c r="B73" s="137"/>
      <c r="C73" s="137"/>
      <c r="D73" s="137"/>
      <c r="E73" s="137"/>
      <c r="F73" s="137"/>
      <c r="G73" s="137"/>
      <c r="H73" s="137"/>
      <c r="I73" s="137"/>
      <c r="J73" s="137"/>
      <c r="K73" s="137"/>
      <c r="L73" s="137"/>
      <c r="M73" s="137"/>
      <c r="N73" s="137"/>
      <c r="O73" s="137"/>
      <c r="P73" s="47"/>
    </row>
    <row r="74" spans="1:16" ht="12.75">
      <c r="A74" s="136">
        <v>0.697916666666667</v>
      </c>
      <c r="B74" s="137"/>
      <c r="C74" s="137"/>
      <c r="D74" s="137"/>
      <c r="E74" s="137"/>
      <c r="F74" s="137"/>
      <c r="G74" s="137"/>
      <c r="H74" s="137"/>
      <c r="I74" s="137"/>
      <c r="J74" s="137"/>
      <c r="K74" s="137"/>
      <c r="L74" s="137"/>
      <c r="M74" s="137"/>
      <c r="N74" s="137"/>
      <c r="O74" s="137"/>
      <c r="P74" s="47"/>
    </row>
    <row r="75" spans="1:16" ht="12.75">
      <c r="A75" s="136">
        <v>0.708333333333333</v>
      </c>
      <c r="B75" s="137"/>
      <c r="C75" s="137"/>
      <c r="D75" s="137"/>
      <c r="E75" s="137"/>
      <c r="F75" s="137"/>
      <c r="G75" s="137"/>
      <c r="H75" s="137"/>
      <c r="I75" s="137"/>
      <c r="J75" s="137"/>
      <c r="K75" s="137"/>
      <c r="L75" s="137"/>
      <c r="M75" s="137"/>
      <c r="N75" s="137"/>
      <c r="O75" s="137"/>
      <c r="P75" s="47"/>
    </row>
    <row r="76" spans="1:16" ht="12.75">
      <c r="A76" s="136">
        <v>0.71875</v>
      </c>
      <c r="B76" s="137"/>
      <c r="C76" s="137"/>
      <c r="D76" s="137"/>
      <c r="E76" s="137"/>
      <c r="F76" s="137"/>
      <c r="G76" s="137"/>
      <c r="H76" s="137"/>
      <c r="I76" s="137"/>
      <c r="J76" s="137"/>
      <c r="K76" s="137"/>
      <c r="L76" s="137"/>
      <c r="M76" s="137"/>
      <c r="N76" s="137"/>
      <c r="O76" s="137"/>
      <c r="P76" s="47"/>
    </row>
    <row r="77" spans="1:16" ht="12.75">
      <c r="A77" s="136">
        <v>0.729166666666667</v>
      </c>
      <c r="B77" s="137"/>
      <c r="C77" s="137"/>
      <c r="D77" s="137"/>
      <c r="E77" s="137"/>
      <c r="F77" s="137"/>
      <c r="G77" s="137"/>
      <c r="H77" s="137"/>
      <c r="I77" s="137"/>
      <c r="J77" s="137"/>
      <c r="K77" s="137"/>
      <c r="L77" s="137"/>
      <c r="M77" s="137"/>
      <c r="N77" s="137"/>
      <c r="O77" s="137"/>
      <c r="P77" s="47"/>
    </row>
    <row r="78" spans="1:16" ht="12.75">
      <c r="A78" s="136">
        <v>0.739583333333333</v>
      </c>
      <c r="B78" s="137"/>
      <c r="C78" s="137"/>
      <c r="D78" s="137"/>
      <c r="E78" s="137"/>
      <c r="F78" s="137"/>
      <c r="G78" s="137"/>
      <c r="H78" s="137"/>
      <c r="I78" s="137"/>
      <c r="J78" s="137"/>
      <c r="K78" s="137"/>
      <c r="L78" s="137"/>
      <c r="M78" s="137"/>
      <c r="N78" s="137"/>
      <c r="O78" s="137"/>
      <c r="P78" s="47"/>
    </row>
    <row r="79" spans="1:16" ht="12.75">
      <c r="A79" s="136">
        <v>0.75</v>
      </c>
      <c r="B79" s="137"/>
      <c r="C79" s="137"/>
      <c r="D79" s="137"/>
      <c r="E79" s="137"/>
      <c r="F79" s="137"/>
      <c r="G79" s="137"/>
      <c r="H79" s="137"/>
      <c r="I79" s="137"/>
      <c r="J79" s="137"/>
      <c r="K79" s="137"/>
      <c r="L79" s="137"/>
      <c r="M79" s="137"/>
      <c r="N79" s="137"/>
      <c r="O79" s="137"/>
      <c r="P79" s="47"/>
    </row>
    <row r="80" spans="1:16" ht="12.75">
      <c r="A80" s="136">
        <v>0.760416666666667</v>
      </c>
      <c r="B80" s="137"/>
      <c r="C80" s="137"/>
      <c r="D80" s="137"/>
      <c r="E80" s="137"/>
      <c r="F80" s="137"/>
      <c r="G80" s="137"/>
      <c r="H80" s="137"/>
      <c r="I80" s="137"/>
      <c r="J80" s="137"/>
      <c r="K80" s="137"/>
      <c r="L80" s="137"/>
      <c r="M80" s="137"/>
      <c r="N80" s="137"/>
      <c r="O80" s="137"/>
      <c r="P80" s="47"/>
    </row>
    <row r="81" spans="1:16" ht="12.75">
      <c r="A81" s="136">
        <v>0.770833333333333</v>
      </c>
      <c r="B81" s="137"/>
      <c r="C81" s="137"/>
      <c r="D81" s="137"/>
      <c r="E81" s="137"/>
      <c r="F81" s="137"/>
      <c r="G81" s="137"/>
      <c r="H81" s="137"/>
      <c r="I81" s="137"/>
      <c r="J81" s="137"/>
      <c r="K81" s="137"/>
      <c r="L81" s="137"/>
      <c r="M81" s="137"/>
      <c r="N81" s="137"/>
      <c r="O81" s="137"/>
      <c r="P81" s="47"/>
    </row>
    <row r="82" spans="1:16" ht="12.75">
      <c r="A82" s="136">
        <v>0.78125</v>
      </c>
      <c r="B82" s="137"/>
      <c r="C82" s="137"/>
      <c r="D82" s="137"/>
      <c r="E82" s="137"/>
      <c r="F82" s="137"/>
      <c r="G82" s="137"/>
      <c r="H82" s="137"/>
      <c r="I82" s="137"/>
      <c r="J82" s="137"/>
      <c r="K82" s="137"/>
      <c r="L82" s="137"/>
      <c r="M82" s="137"/>
      <c r="N82" s="137"/>
      <c r="O82" s="137"/>
      <c r="P82" s="47"/>
    </row>
    <row r="83" spans="1:16" ht="12.75">
      <c r="A83" s="136">
        <v>0.791666666666667</v>
      </c>
      <c r="B83" s="137"/>
      <c r="C83" s="137"/>
      <c r="D83" s="137"/>
      <c r="E83" s="137"/>
      <c r="F83" s="137"/>
      <c r="G83" s="137"/>
      <c r="H83" s="137"/>
      <c r="I83" s="137"/>
      <c r="J83" s="137"/>
      <c r="K83" s="137"/>
      <c r="L83" s="137"/>
      <c r="M83" s="137"/>
      <c r="N83" s="137"/>
      <c r="O83" s="137"/>
      <c r="P83" s="47"/>
    </row>
    <row r="84" spans="1:16" ht="12.75">
      <c r="A84" s="136">
        <v>0.802083333333333</v>
      </c>
      <c r="B84" s="137"/>
      <c r="C84" s="137"/>
      <c r="D84" s="137"/>
      <c r="E84" s="137"/>
      <c r="F84" s="137"/>
      <c r="G84" s="137"/>
      <c r="H84" s="137"/>
      <c r="I84" s="137"/>
      <c r="J84" s="137"/>
      <c r="K84" s="137"/>
      <c r="L84" s="137"/>
      <c r="M84" s="137"/>
      <c r="N84" s="137"/>
      <c r="O84" s="137"/>
      <c r="P84" s="47"/>
    </row>
    <row r="85" spans="1:16" ht="12.75">
      <c r="A85" s="136">
        <v>0.8125</v>
      </c>
      <c r="B85" s="137"/>
      <c r="C85" s="137"/>
      <c r="D85" s="137"/>
      <c r="E85" s="137"/>
      <c r="F85" s="137"/>
      <c r="G85" s="137"/>
      <c r="H85" s="137"/>
      <c r="I85" s="137"/>
      <c r="J85" s="137"/>
      <c r="K85" s="137"/>
      <c r="L85" s="137"/>
      <c r="M85" s="137"/>
      <c r="N85" s="137"/>
      <c r="O85" s="137"/>
      <c r="P85" s="47"/>
    </row>
    <row r="86" spans="1:16" ht="12.75">
      <c r="A86" s="136">
        <v>0.822916666666667</v>
      </c>
      <c r="B86" s="137"/>
      <c r="C86" s="137"/>
      <c r="D86" s="137"/>
      <c r="E86" s="137"/>
      <c r="F86" s="137"/>
      <c r="G86" s="137"/>
      <c r="H86" s="137"/>
      <c r="I86" s="137"/>
      <c r="J86" s="137"/>
      <c r="K86" s="137"/>
      <c r="L86" s="137"/>
      <c r="M86" s="137"/>
      <c r="N86" s="137"/>
      <c r="O86" s="137"/>
      <c r="P86" s="47"/>
    </row>
    <row r="87" spans="1:16" ht="12.75">
      <c r="A87" s="136">
        <v>0.833333333333333</v>
      </c>
      <c r="B87" s="137"/>
      <c r="C87" s="137"/>
      <c r="D87" s="137"/>
      <c r="E87" s="137"/>
      <c r="F87" s="137"/>
      <c r="G87" s="137"/>
      <c r="H87" s="137"/>
      <c r="I87" s="137"/>
      <c r="J87" s="137"/>
      <c r="K87" s="137"/>
      <c r="L87" s="137"/>
      <c r="M87" s="137"/>
      <c r="N87" s="137"/>
      <c r="O87" s="137"/>
      <c r="P87" s="47"/>
    </row>
    <row r="88" spans="1:16" ht="12.75">
      <c r="A88" s="136">
        <v>0.84375</v>
      </c>
      <c r="B88" s="137"/>
      <c r="C88" s="137"/>
      <c r="D88" s="137"/>
      <c r="E88" s="137"/>
      <c r="F88" s="137"/>
      <c r="G88" s="137"/>
      <c r="H88" s="137"/>
      <c r="I88" s="137"/>
      <c r="J88" s="137"/>
      <c r="K88" s="137"/>
      <c r="L88" s="137"/>
      <c r="M88" s="137"/>
      <c r="N88" s="137"/>
      <c r="O88" s="137"/>
      <c r="P88" s="47"/>
    </row>
    <row r="89" spans="1:16" ht="12.75">
      <c r="A89" s="136">
        <v>0.854166666666667</v>
      </c>
      <c r="B89" s="137"/>
      <c r="C89" s="137"/>
      <c r="D89" s="137"/>
      <c r="E89" s="137"/>
      <c r="F89" s="137"/>
      <c r="G89" s="137"/>
      <c r="H89" s="137"/>
      <c r="I89" s="137"/>
      <c r="J89" s="137"/>
      <c r="K89" s="137"/>
      <c r="L89" s="137"/>
      <c r="M89" s="137"/>
      <c r="N89" s="137"/>
      <c r="O89" s="137"/>
      <c r="P89" s="47"/>
    </row>
    <row r="90" spans="1:16" ht="12.75">
      <c r="A90" s="136">
        <v>0.864583333333333</v>
      </c>
      <c r="B90" s="137"/>
      <c r="C90" s="137"/>
      <c r="D90" s="137"/>
      <c r="E90" s="137"/>
      <c r="F90" s="137"/>
      <c r="G90" s="137"/>
      <c r="H90" s="137"/>
      <c r="I90" s="137"/>
      <c r="J90" s="137"/>
      <c r="K90" s="137"/>
      <c r="L90" s="137"/>
      <c r="M90" s="137"/>
      <c r="N90" s="137"/>
      <c r="O90" s="137"/>
      <c r="P90" s="47"/>
    </row>
    <row r="91" spans="1:16" ht="12.75">
      <c r="A91" s="136">
        <v>0.875</v>
      </c>
      <c r="B91" s="137"/>
      <c r="C91" s="137"/>
      <c r="D91" s="137"/>
      <c r="E91" s="137"/>
      <c r="F91" s="137"/>
      <c r="G91" s="137"/>
      <c r="H91" s="137"/>
      <c r="I91" s="137"/>
      <c r="J91" s="137"/>
      <c r="K91" s="137"/>
      <c r="L91" s="137"/>
      <c r="M91" s="137"/>
      <c r="N91" s="137"/>
      <c r="O91" s="137"/>
      <c r="P91" s="47"/>
    </row>
    <row r="92" spans="1:16" ht="12.75">
      <c r="A92" s="136">
        <v>0.885416666666667</v>
      </c>
      <c r="B92" s="137"/>
      <c r="C92" s="137"/>
      <c r="D92" s="137"/>
      <c r="E92" s="137"/>
      <c r="F92" s="137"/>
      <c r="G92" s="137"/>
      <c r="H92" s="137"/>
      <c r="I92" s="137"/>
      <c r="J92" s="137"/>
      <c r="K92" s="137"/>
      <c r="L92" s="137"/>
      <c r="M92" s="137"/>
      <c r="N92" s="137"/>
      <c r="O92" s="137"/>
      <c r="P92" s="47"/>
    </row>
    <row r="93" spans="1:16" ht="12.75">
      <c r="A93" s="136">
        <v>0.895833333333333</v>
      </c>
      <c r="B93" s="137"/>
      <c r="C93" s="137"/>
      <c r="D93" s="137"/>
      <c r="E93" s="137"/>
      <c r="F93" s="137"/>
      <c r="G93" s="137"/>
      <c r="H93" s="137"/>
      <c r="I93" s="137"/>
      <c r="J93" s="137"/>
      <c r="K93" s="137"/>
      <c r="L93" s="137"/>
      <c r="M93" s="137"/>
      <c r="N93" s="137"/>
      <c r="O93" s="137"/>
      <c r="P93" s="47"/>
    </row>
    <row r="94" spans="1:16" ht="12.75">
      <c r="A94" s="136">
        <v>0.90625</v>
      </c>
      <c r="B94" s="137"/>
      <c r="C94" s="137"/>
      <c r="D94" s="137"/>
      <c r="E94" s="137"/>
      <c r="F94" s="137"/>
      <c r="G94" s="137"/>
      <c r="H94" s="137"/>
      <c r="I94" s="137"/>
      <c r="J94" s="137"/>
      <c r="K94" s="137"/>
      <c r="L94" s="137"/>
      <c r="M94" s="137"/>
      <c r="N94" s="137"/>
      <c r="O94" s="137"/>
      <c r="P94" s="47"/>
    </row>
    <row r="95" spans="1:16" ht="12.75">
      <c r="A95" s="136">
        <v>0.916666666666667</v>
      </c>
      <c r="B95" s="137"/>
      <c r="C95" s="137"/>
      <c r="D95" s="137"/>
      <c r="E95" s="137"/>
      <c r="F95" s="137"/>
      <c r="G95" s="137"/>
      <c r="H95" s="137"/>
      <c r="I95" s="137"/>
      <c r="J95" s="137"/>
      <c r="K95" s="137"/>
      <c r="L95" s="137"/>
      <c r="M95" s="137"/>
      <c r="N95" s="137"/>
      <c r="O95" s="137"/>
      <c r="P95" s="47"/>
    </row>
    <row r="96" spans="1:16" ht="12.75">
      <c r="A96" s="136">
        <v>0.927083333333333</v>
      </c>
      <c r="B96" s="137"/>
      <c r="C96" s="137"/>
      <c r="D96" s="137"/>
      <c r="E96" s="137"/>
      <c r="F96" s="137"/>
      <c r="G96" s="137"/>
      <c r="H96" s="137"/>
      <c r="I96" s="137"/>
      <c r="J96" s="137"/>
      <c r="K96" s="137"/>
      <c r="L96" s="137"/>
      <c r="M96" s="137"/>
      <c r="N96" s="137"/>
      <c r="O96" s="137"/>
      <c r="P96" s="47"/>
    </row>
    <row r="97" spans="1:16" ht="12.75">
      <c r="A97" s="136">
        <v>0.9375</v>
      </c>
      <c r="B97" s="137"/>
      <c r="C97" s="137"/>
      <c r="D97" s="137"/>
      <c r="E97" s="137"/>
      <c r="F97" s="137"/>
      <c r="G97" s="137"/>
      <c r="H97" s="137"/>
      <c r="I97" s="137"/>
      <c r="J97" s="137"/>
      <c r="K97" s="137"/>
      <c r="L97" s="137"/>
      <c r="M97" s="137"/>
      <c r="N97" s="137"/>
      <c r="O97" s="137"/>
      <c r="P97" s="47"/>
    </row>
    <row r="98" spans="1:16" ht="12.75">
      <c r="A98" s="136">
        <v>0.947916666666667</v>
      </c>
      <c r="B98" s="137"/>
      <c r="C98" s="137"/>
      <c r="D98" s="137"/>
      <c r="E98" s="137"/>
      <c r="F98" s="137"/>
      <c r="G98" s="137"/>
      <c r="H98" s="137"/>
      <c r="I98" s="137"/>
      <c r="J98" s="137"/>
      <c r="K98" s="137"/>
      <c r="L98" s="137"/>
      <c r="M98" s="137"/>
      <c r="N98" s="137"/>
      <c r="O98" s="137"/>
      <c r="P98" s="47"/>
    </row>
    <row r="99" spans="1:16" ht="12.75">
      <c r="A99" s="136">
        <v>0.958333333333333</v>
      </c>
      <c r="B99" s="137"/>
      <c r="C99" s="137"/>
      <c r="D99" s="137"/>
      <c r="E99" s="137"/>
      <c r="F99" s="137"/>
      <c r="G99" s="137"/>
      <c r="H99" s="137"/>
      <c r="I99" s="137"/>
      <c r="J99" s="137"/>
      <c r="K99" s="137"/>
      <c r="L99" s="137"/>
      <c r="M99" s="137"/>
      <c r="N99" s="137"/>
      <c r="O99" s="137"/>
      <c r="P99" s="47"/>
    </row>
    <row r="100" spans="1:16" ht="12.75">
      <c r="A100" s="136">
        <v>0.96875</v>
      </c>
      <c r="B100" s="137"/>
      <c r="C100" s="137"/>
      <c r="D100" s="137"/>
      <c r="E100" s="137"/>
      <c r="F100" s="137"/>
      <c r="G100" s="137"/>
      <c r="H100" s="137"/>
      <c r="I100" s="137"/>
      <c r="J100" s="137"/>
      <c r="K100" s="137"/>
      <c r="L100" s="137"/>
      <c r="M100" s="137"/>
      <c r="N100" s="137"/>
      <c r="O100" s="137"/>
      <c r="P100" s="47"/>
    </row>
    <row r="101" spans="1:16" ht="12.75">
      <c r="A101" s="136">
        <v>0.979166666666667</v>
      </c>
      <c r="B101" s="137"/>
      <c r="C101" s="137"/>
      <c r="D101" s="137"/>
      <c r="E101" s="137"/>
      <c r="F101" s="137"/>
      <c r="G101" s="137"/>
      <c r="H101" s="137"/>
      <c r="I101" s="137"/>
      <c r="J101" s="137"/>
      <c r="K101" s="137"/>
      <c r="L101" s="137"/>
      <c r="M101" s="137"/>
      <c r="N101" s="137"/>
      <c r="O101" s="137"/>
      <c r="P101" s="47"/>
    </row>
    <row r="102" spans="1:16" ht="12.75">
      <c r="A102" s="136">
        <v>0.989583333333333</v>
      </c>
      <c r="B102" s="137"/>
      <c r="C102" s="137"/>
      <c r="D102" s="137"/>
      <c r="E102" s="137"/>
      <c r="F102" s="137"/>
      <c r="G102" s="137"/>
      <c r="H102" s="137"/>
      <c r="I102" s="137"/>
      <c r="J102" s="137"/>
      <c r="K102" s="137"/>
      <c r="L102" s="137"/>
      <c r="M102" s="137"/>
      <c r="N102" s="137"/>
      <c r="O102" s="137"/>
      <c r="P102" s="47"/>
    </row>
    <row r="106" spans="13:27" ht="12.75">
      <c r="M106" s="22"/>
      <c r="N106" s="22"/>
      <c r="O106" s="22"/>
      <c r="P106" s="22"/>
      <c r="Q106" s="22"/>
      <c r="R106" s="22"/>
      <c r="S106" s="22"/>
      <c r="T106" s="22"/>
      <c r="U106" s="22"/>
      <c r="V106" s="22"/>
      <c r="W106" s="22"/>
      <c r="X106" s="22"/>
      <c r="Y106" s="22"/>
      <c r="Z106" s="22"/>
      <c r="AA106" s="22"/>
    </row>
  </sheetData>
  <sheetProtection sheet="1" objects="1" scenarios="1" selectLockedCells="1" selectUnlockedCells="1"/>
  <mergeCells count="1">
    <mergeCell ref="A5:O5"/>
  </mergeCell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Appointments"/>
  <dimension ref="A1:P23"/>
  <sheetViews>
    <sheetView zoomScalePageLayoutView="0" workbookViewId="0" topLeftCell="A1">
      <selection activeCell="F7" sqref="F7"/>
    </sheetView>
  </sheetViews>
  <sheetFormatPr defaultColWidth="9.140625" defaultRowHeight="12.75"/>
  <cols>
    <col min="1" max="1" width="10.00390625" style="76" bestFit="1" customWidth="1"/>
    <col min="2" max="2" width="10.421875" style="152" bestFit="1" customWidth="1"/>
    <col min="3" max="3" width="9.421875" style="76" bestFit="1" customWidth="1"/>
    <col min="4" max="4" width="9.57421875" style="152" bestFit="1" customWidth="1"/>
    <col min="5" max="5" width="84.57421875" style="165" customWidth="1"/>
    <col min="6" max="6" width="15.8515625" style="0" bestFit="1" customWidth="1"/>
  </cols>
  <sheetData>
    <row r="1" spans="1:16" ht="33.75">
      <c r="A1" s="192" t="s">
        <v>16</v>
      </c>
      <c r="B1" s="192"/>
      <c r="C1" s="192"/>
      <c r="D1" s="192"/>
      <c r="E1" s="192"/>
      <c r="F1" s="192"/>
      <c r="G1" s="148"/>
      <c r="H1" s="148"/>
      <c r="I1" s="148"/>
      <c r="J1" s="148"/>
      <c r="K1" s="148"/>
      <c r="L1" s="148"/>
      <c r="M1" s="148"/>
      <c r="N1" s="148"/>
      <c r="O1" s="148"/>
      <c r="P1" s="9"/>
    </row>
    <row r="2" spans="1:16" ht="12.75">
      <c r="A2" s="149"/>
      <c r="B2" s="151"/>
      <c r="C2" s="149"/>
      <c r="D2" s="151"/>
      <c r="E2" s="163"/>
      <c r="F2" s="3"/>
      <c r="G2" s="9"/>
      <c r="H2" s="9"/>
      <c r="I2" s="9"/>
      <c r="J2" s="9"/>
      <c r="K2" s="9"/>
      <c r="L2" s="9"/>
      <c r="M2" s="9"/>
      <c r="N2" s="9"/>
      <c r="O2" s="9"/>
      <c r="P2" s="9"/>
    </row>
    <row r="3" spans="1:16" ht="12.75">
      <c r="A3" s="149"/>
      <c r="B3" s="151"/>
      <c r="C3" s="149"/>
      <c r="D3" s="151"/>
      <c r="E3" s="163"/>
      <c r="F3" s="3"/>
      <c r="G3" s="9"/>
      <c r="H3" s="9"/>
      <c r="I3" s="9"/>
      <c r="J3" s="9"/>
      <c r="K3" s="9"/>
      <c r="L3" s="9"/>
      <c r="M3" s="9"/>
      <c r="N3" s="9"/>
      <c r="O3" s="9"/>
      <c r="P3" s="9"/>
    </row>
    <row r="4" spans="1:16" ht="12.75">
      <c r="A4" s="149"/>
      <c r="B4" s="151"/>
      <c r="C4" s="149"/>
      <c r="D4" s="151"/>
      <c r="E4" s="163"/>
      <c r="F4" s="3"/>
      <c r="G4" s="9"/>
      <c r="H4" s="9"/>
      <c r="I4" s="9"/>
      <c r="J4" s="9"/>
      <c r="K4" s="9"/>
      <c r="L4" s="9"/>
      <c r="M4" s="9"/>
      <c r="N4" s="9"/>
      <c r="O4" s="9"/>
      <c r="P4" s="9"/>
    </row>
    <row r="5" spans="1:16" ht="12.75">
      <c r="A5" s="149"/>
      <c r="B5" s="151"/>
      <c r="C5" s="149"/>
      <c r="D5" s="151"/>
      <c r="E5" s="163"/>
      <c r="F5" s="3"/>
      <c r="G5" s="9"/>
      <c r="H5" s="9"/>
      <c r="I5" s="9"/>
      <c r="J5" s="9"/>
      <c r="K5" s="9"/>
      <c r="L5" s="9"/>
      <c r="M5" s="9"/>
      <c r="N5" s="9"/>
      <c r="O5" s="9"/>
      <c r="P5" s="9"/>
    </row>
    <row r="6" spans="1:6" ht="12.75">
      <c r="A6" s="162" t="s">
        <v>341</v>
      </c>
      <c r="B6" s="160" t="s">
        <v>342</v>
      </c>
      <c r="C6" s="162" t="s">
        <v>343</v>
      </c>
      <c r="D6" s="160" t="s">
        <v>344</v>
      </c>
      <c r="E6" s="164" t="s">
        <v>144</v>
      </c>
      <c r="F6" s="160" t="s">
        <v>345</v>
      </c>
    </row>
    <row r="7" spans="1:6" ht="12.75">
      <c r="A7" s="158">
        <v>38159</v>
      </c>
      <c r="B7" s="152">
        <v>0.6041666666666666</v>
      </c>
      <c r="C7" s="158"/>
      <c r="E7" t="s">
        <v>146</v>
      </c>
      <c r="F7" s="9"/>
    </row>
    <row r="8" spans="1:6" ht="12.75">
      <c r="A8" s="158">
        <v>38173</v>
      </c>
      <c r="B8" s="152">
        <v>0.4583333333333333</v>
      </c>
      <c r="C8" s="158"/>
      <c r="E8" t="s">
        <v>147</v>
      </c>
      <c r="F8" s="153"/>
    </row>
    <row r="9" spans="1:6" ht="12.75">
      <c r="A9" s="158">
        <v>38174</v>
      </c>
      <c r="B9" s="152">
        <v>0.375</v>
      </c>
      <c r="C9" s="158">
        <v>38210</v>
      </c>
      <c r="D9" s="152">
        <v>0.4583333333333333</v>
      </c>
      <c r="E9" t="s">
        <v>391</v>
      </c>
      <c r="F9" s="9"/>
    </row>
    <row r="10" spans="1:6" ht="12.75">
      <c r="A10" s="158">
        <v>38175</v>
      </c>
      <c r="B10" s="152">
        <v>0.25</v>
      </c>
      <c r="C10" s="158"/>
      <c r="D10" s="152">
        <v>0.8333333333333334</v>
      </c>
      <c r="E10" t="s">
        <v>394</v>
      </c>
      <c r="F10" s="154"/>
    </row>
    <row r="11" spans="1:6" ht="12.75">
      <c r="A11" s="158">
        <v>38175</v>
      </c>
      <c r="B11" s="152">
        <v>0.5625</v>
      </c>
      <c r="C11" s="158"/>
      <c r="E11" t="s">
        <v>148</v>
      </c>
      <c r="F11" s="154"/>
    </row>
    <row r="12" spans="1:6" ht="12.75">
      <c r="A12" s="158">
        <v>38177</v>
      </c>
      <c r="C12" s="158"/>
      <c r="E12" t="s">
        <v>149</v>
      </c>
      <c r="F12" s="9"/>
    </row>
    <row r="13" spans="1:6" ht="12.75">
      <c r="A13" s="158">
        <v>38178</v>
      </c>
      <c r="B13" s="152">
        <v>0.625</v>
      </c>
      <c r="C13" s="158"/>
      <c r="E13" t="s">
        <v>150</v>
      </c>
      <c r="F13" s="9"/>
    </row>
    <row r="14" spans="1:6" ht="12.75">
      <c r="A14" s="158">
        <v>38187</v>
      </c>
      <c r="B14" s="152">
        <v>0.4375</v>
      </c>
      <c r="C14" s="158"/>
      <c r="E14" t="s">
        <v>145</v>
      </c>
      <c r="F14" s="7"/>
    </row>
    <row r="15" spans="1:6" ht="12.75">
      <c r="A15" s="158">
        <v>38211</v>
      </c>
      <c r="B15" s="152">
        <v>0.4166666666666667</v>
      </c>
      <c r="C15" s="158"/>
      <c r="D15" s="152">
        <v>0.5833333333333334</v>
      </c>
      <c r="E15" t="s">
        <v>392</v>
      </c>
      <c r="F15" s="7"/>
    </row>
    <row r="16" spans="1:6" ht="12.75">
      <c r="A16" s="158">
        <v>38211</v>
      </c>
      <c r="B16" s="152">
        <v>0.6041666666666666</v>
      </c>
      <c r="C16" s="158"/>
      <c r="E16" t="s">
        <v>393</v>
      </c>
      <c r="F16" s="9"/>
    </row>
    <row r="17" spans="1:6" ht="12.75">
      <c r="A17" s="158">
        <v>38211</v>
      </c>
      <c r="C17" s="158">
        <v>38224</v>
      </c>
      <c r="E17" t="s">
        <v>390</v>
      </c>
      <c r="F17" s="9"/>
    </row>
    <row r="18" spans="1:6" ht="12.75">
      <c r="A18" s="158">
        <v>38218</v>
      </c>
      <c r="B18" s="152" t="s">
        <v>395</v>
      </c>
      <c r="C18" s="158"/>
      <c r="E18" t="s">
        <v>396</v>
      </c>
      <c r="F18" s="9"/>
    </row>
    <row r="19" spans="1:6" ht="12.75">
      <c r="A19" s="167"/>
      <c r="B19" s="156"/>
      <c r="C19" s="167"/>
      <c r="D19" s="156"/>
      <c r="E19" s="166"/>
      <c r="F19" s="10"/>
    </row>
    <row r="20" spans="1:6" ht="12.75">
      <c r="A20" s="167"/>
      <c r="B20" s="156"/>
      <c r="C20" s="167"/>
      <c r="D20" s="156"/>
      <c r="E20" s="166"/>
      <c r="F20" s="10"/>
    </row>
    <row r="21" spans="1:6" ht="12.75">
      <c r="A21" s="167"/>
      <c r="B21" s="156"/>
      <c r="C21" s="167"/>
      <c r="D21" s="156"/>
      <c r="E21" s="166"/>
      <c r="F21" s="10"/>
    </row>
    <row r="22" spans="1:6" ht="12.75">
      <c r="A22" s="167"/>
      <c r="B22" s="156"/>
      <c r="C22" s="167"/>
      <c r="D22" s="156"/>
      <c r="E22" s="166"/>
      <c r="F22" s="10"/>
    </row>
    <row r="23" spans="1:6" ht="12.75">
      <c r="A23" s="167"/>
      <c r="B23" s="156"/>
      <c r="C23" s="167"/>
      <c r="D23" s="156"/>
      <c r="E23" s="166"/>
      <c r="F23" s="10"/>
    </row>
  </sheetData>
  <sheetProtection sheet="1" objects="1" scenarios="1"/>
  <mergeCells count="1">
    <mergeCell ref="A1:F1"/>
  </mergeCells>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sheetPr codeName="Contacts"/>
  <dimension ref="A1:T324"/>
  <sheetViews>
    <sheetView zoomScalePageLayoutView="0" workbookViewId="0" topLeftCell="A1">
      <pane ySplit="6" topLeftCell="A7" activePane="bottomLeft" state="frozen"/>
      <selection pane="topLeft" activeCell="A1" sqref="A1"/>
      <selection pane="bottomLeft" activeCell="G6" sqref="G6"/>
    </sheetView>
  </sheetViews>
  <sheetFormatPr defaultColWidth="9.140625" defaultRowHeight="12.75"/>
  <cols>
    <col min="1" max="1" width="8.421875" style="0" bestFit="1" customWidth="1"/>
    <col min="2" max="2" width="5.00390625" style="0" bestFit="1" customWidth="1"/>
    <col min="4" max="4" width="5.28125" style="0" bestFit="1" customWidth="1"/>
    <col min="5" max="5" width="11.28125" style="0" bestFit="1" customWidth="1"/>
    <col min="6" max="6" width="16.7109375" style="0" bestFit="1" customWidth="1"/>
    <col min="7" max="7" width="9.28125" style="147" bestFit="1" customWidth="1"/>
    <col min="8" max="8" width="10.57421875" style="0" bestFit="1" customWidth="1"/>
    <col min="9" max="9" width="5.28125" style="0" bestFit="1" customWidth="1"/>
    <col min="10" max="10" width="8.00390625" style="0" bestFit="1" customWidth="1"/>
    <col min="11" max="11" width="13.421875" style="0" bestFit="1" customWidth="1"/>
    <col min="12" max="13" width="7.57421875" style="0" bestFit="1" customWidth="1"/>
    <col min="14" max="14" width="19.140625" style="0" bestFit="1" customWidth="1"/>
    <col min="15" max="15" width="5.421875" style="0" bestFit="1" customWidth="1"/>
    <col min="16" max="16" width="9.8515625" style="0" bestFit="1" customWidth="1"/>
    <col min="17" max="17" width="10.421875" style="0" bestFit="1" customWidth="1"/>
    <col min="18" max="18" width="11.421875" style="0" bestFit="1" customWidth="1"/>
  </cols>
  <sheetData>
    <row r="1" spans="1:18" ht="33.75">
      <c r="A1" s="193" t="s">
        <v>91</v>
      </c>
      <c r="B1" s="193"/>
      <c r="C1" s="193"/>
      <c r="D1" s="193"/>
      <c r="E1" s="193"/>
      <c r="F1" s="193"/>
      <c r="G1" s="193"/>
      <c r="H1" s="193"/>
      <c r="I1" s="193"/>
      <c r="J1" s="193"/>
      <c r="K1" s="193"/>
      <c r="L1" s="193"/>
      <c r="M1" s="193"/>
      <c r="N1" s="193"/>
      <c r="O1" s="144"/>
      <c r="P1" s="109"/>
      <c r="Q1" s="3"/>
      <c r="R1" s="3"/>
    </row>
    <row r="2" spans="1:18" ht="12.75">
      <c r="A2" s="3"/>
      <c r="B2" s="3"/>
      <c r="C2" s="3"/>
      <c r="D2" s="3"/>
      <c r="E2" s="3"/>
      <c r="F2" s="3"/>
      <c r="G2" s="145"/>
      <c r="H2" s="3"/>
      <c r="I2" s="3"/>
      <c r="J2" s="3"/>
      <c r="K2" s="3"/>
      <c r="L2" s="3"/>
      <c r="M2" s="3"/>
      <c r="N2" s="3"/>
      <c r="O2" s="3"/>
      <c r="P2" s="3"/>
      <c r="Q2" s="3"/>
      <c r="R2" s="3"/>
    </row>
    <row r="3" spans="1:18" ht="12.75">
      <c r="A3" s="3"/>
      <c r="B3" s="3"/>
      <c r="C3" s="3"/>
      <c r="D3" s="3"/>
      <c r="E3" s="3"/>
      <c r="F3" s="3"/>
      <c r="G3" s="145"/>
      <c r="H3" s="3"/>
      <c r="I3" s="3"/>
      <c r="J3" s="3"/>
      <c r="K3" s="3"/>
      <c r="L3" s="3"/>
      <c r="M3" s="3"/>
      <c r="N3" s="3"/>
      <c r="O3" s="3"/>
      <c r="P3" s="3"/>
      <c r="Q3" s="3"/>
      <c r="R3" s="3"/>
    </row>
    <row r="4" spans="1:18" ht="12.75">
      <c r="A4" s="3"/>
      <c r="B4" s="3"/>
      <c r="C4" s="3"/>
      <c r="D4" s="3"/>
      <c r="E4" s="3"/>
      <c r="F4" s="3"/>
      <c r="G4" s="145"/>
      <c r="H4" s="3"/>
      <c r="I4" s="3"/>
      <c r="J4" s="3"/>
      <c r="K4" s="3"/>
      <c r="L4" s="3"/>
      <c r="M4" s="3"/>
      <c r="N4" s="3"/>
      <c r="O4" s="3"/>
      <c r="P4" s="3"/>
      <c r="Q4" s="3"/>
      <c r="R4" s="3"/>
    </row>
    <row r="5" spans="1:18" ht="12.75">
      <c r="A5" s="3"/>
      <c r="B5" s="3"/>
      <c r="C5" s="3"/>
      <c r="D5" s="3"/>
      <c r="E5" s="3"/>
      <c r="F5" s="3"/>
      <c r="G5" s="145"/>
      <c r="H5" s="3"/>
      <c r="I5" s="3"/>
      <c r="J5" s="3"/>
      <c r="K5" s="3"/>
      <c r="L5" s="3"/>
      <c r="M5" s="3"/>
      <c r="N5" s="3"/>
      <c r="O5" s="3"/>
      <c r="P5" s="3"/>
      <c r="Q5" s="3"/>
      <c r="R5" s="3"/>
    </row>
    <row r="6" spans="1:18" s="58" customFormat="1" ht="24">
      <c r="A6" s="139" t="s">
        <v>96</v>
      </c>
      <c r="B6" s="140" t="s">
        <v>95</v>
      </c>
      <c r="C6" s="139" t="s">
        <v>324</v>
      </c>
      <c r="D6" s="140" t="s">
        <v>97</v>
      </c>
      <c r="E6" s="140" t="s">
        <v>325</v>
      </c>
      <c r="F6" s="139" t="s">
        <v>98</v>
      </c>
      <c r="G6" s="139" t="s">
        <v>323</v>
      </c>
      <c r="H6" s="139" t="s">
        <v>100</v>
      </c>
      <c r="I6" s="139" t="s">
        <v>101</v>
      </c>
      <c r="J6" s="141" t="s">
        <v>102</v>
      </c>
      <c r="K6" s="142" t="s">
        <v>107</v>
      </c>
      <c r="L6" s="142" t="s">
        <v>108</v>
      </c>
      <c r="M6" s="142" t="s">
        <v>109</v>
      </c>
      <c r="N6" s="139" t="s">
        <v>103</v>
      </c>
      <c r="O6" s="139" t="s">
        <v>104</v>
      </c>
      <c r="P6" s="139" t="s">
        <v>110</v>
      </c>
      <c r="Q6" s="139" t="s">
        <v>105</v>
      </c>
      <c r="R6" s="143" t="s">
        <v>106</v>
      </c>
    </row>
    <row r="7" spans="1:18" ht="12.75">
      <c r="A7" s="113" t="s">
        <v>153</v>
      </c>
      <c r="B7" s="113" t="s">
        <v>151</v>
      </c>
      <c r="C7" s="113" t="s">
        <v>152</v>
      </c>
      <c r="D7" s="113" t="s">
        <v>154</v>
      </c>
      <c r="E7" s="113"/>
      <c r="F7" s="113" t="s">
        <v>327</v>
      </c>
      <c r="G7" s="113"/>
      <c r="H7" s="113" t="s">
        <v>155</v>
      </c>
      <c r="I7" s="113" t="s">
        <v>156</v>
      </c>
      <c r="J7" s="114">
        <v>47809</v>
      </c>
      <c r="K7" s="115" t="s">
        <v>315</v>
      </c>
      <c r="L7" s="115"/>
      <c r="M7" s="115"/>
      <c r="N7" s="161" t="s">
        <v>157</v>
      </c>
      <c r="O7" s="113"/>
      <c r="P7" s="113" t="s">
        <v>158</v>
      </c>
      <c r="Q7" s="113" t="s">
        <v>159</v>
      </c>
      <c r="R7" s="118">
        <v>38174</v>
      </c>
    </row>
    <row r="8" spans="1:20" ht="12.75">
      <c r="A8" s="10" t="s">
        <v>153</v>
      </c>
      <c r="B8" s="10" t="s">
        <v>160</v>
      </c>
      <c r="C8" s="10" t="s">
        <v>328</v>
      </c>
      <c r="D8" s="10" t="s">
        <v>74</v>
      </c>
      <c r="E8" s="10" t="s">
        <v>329</v>
      </c>
      <c r="F8" s="10" t="s">
        <v>330</v>
      </c>
      <c r="G8" s="10"/>
      <c r="H8" s="10" t="s">
        <v>331</v>
      </c>
      <c r="I8" s="10" t="s">
        <v>156</v>
      </c>
      <c r="J8" s="110">
        <v>47803</v>
      </c>
      <c r="K8" s="111"/>
      <c r="L8" s="111"/>
      <c r="M8" s="111"/>
      <c r="N8" s="10" t="s">
        <v>332</v>
      </c>
      <c r="O8" s="10"/>
      <c r="P8" s="10"/>
      <c r="Q8" s="10" t="s">
        <v>334</v>
      </c>
      <c r="R8" s="119">
        <v>21399</v>
      </c>
      <c r="T8" s="103"/>
    </row>
    <row r="9" spans="1:18" ht="12.75">
      <c r="A9" s="113" t="s">
        <v>171</v>
      </c>
      <c r="B9" s="113" t="s">
        <v>176</v>
      </c>
      <c r="C9" s="113" t="s">
        <v>172</v>
      </c>
      <c r="D9" s="113" t="s">
        <v>173</v>
      </c>
      <c r="E9" s="113"/>
      <c r="F9" s="113">
        <v>5</v>
      </c>
      <c r="G9" s="113"/>
      <c r="H9" s="113" t="s">
        <v>174</v>
      </c>
      <c r="I9" s="113" t="s">
        <v>156</v>
      </c>
      <c r="J9" s="114">
        <v>5</v>
      </c>
      <c r="K9" s="115" t="s">
        <v>315</v>
      </c>
      <c r="L9" s="115"/>
      <c r="M9" s="115"/>
      <c r="N9" s="113"/>
      <c r="O9" s="113"/>
      <c r="P9" s="113"/>
      <c r="Q9" s="113" t="s">
        <v>159</v>
      </c>
      <c r="R9" s="118">
        <v>38211</v>
      </c>
    </row>
    <row r="10" spans="1:20" ht="12.75">
      <c r="A10" s="10" t="s">
        <v>163</v>
      </c>
      <c r="B10" s="10" t="s">
        <v>160</v>
      </c>
      <c r="C10" s="10" t="s">
        <v>161</v>
      </c>
      <c r="D10" s="10" t="s">
        <v>162</v>
      </c>
      <c r="E10" s="10"/>
      <c r="F10" s="10" t="s">
        <v>180</v>
      </c>
      <c r="G10" s="10"/>
      <c r="H10" s="10" t="s">
        <v>164</v>
      </c>
      <c r="I10" s="10" t="s">
        <v>165</v>
      </c>
      <c r="J10" s="110">
        <v>5</v>
      </c>
      <c r="K10" s="111" t="s">
        <v>315</v>
      </c>
      <c r="L10" s="111"/>
      <c r="M10" s="111"/>
      <c r="N10" s="159" t="s">
        <v>166</v>
      </c>
      <c r="O10" s="10"/>
      <c r="P10" s="10" t="s">
        <v>167</v>
      </c>
      <c r="Q10" s="10" t="s">
        <v>168</v>
      </c>
      <c r="R10" s="119"/>
      <c r="T10" s="104"/>
    </row>
    <row r="11" spans="1:20" ht="12.75">
      <c r="A11" s="113" t="s">
        <v>169</v>
      </c>
      <c r="B11" s="113"/>
      <c r="C11" s="113"/>
      <c r="D11" s="113"/>
      <c r="E11" s="113"/>
      <c r="F11" s="113"/>
      <c r="G11" s="113"/>
      <c r="H11" s="113"/>
      <c r="I11" s="113"/>
      <c r="J11" s="114"/>
      <c r="K11" s="115" t="s">
        <v>315</v>
      </c>
      <c r="L11" s="115"/>
      <c r="M11" s="115"/>
      <c r="N11" s="113"/>
      <c r="O11" s="113"/>
      <c r="P11" s="113"/>
      <c r="Q11" s="113" t="s">
        <v>170</v>
      </c>
      <c r="R11" s="118"/>
      <c r="T11" s="105"/>
    </row>
    <row r="12" spans="1:20" ht="12.75">
      <c r="A12" s="10" t="s">
        <v>183</v>
      </c>
      <c r="B12" s="10" t="s">
        <v>160</v>
      </c>
      <c r="C12" s="10" t="s">
        <v>184</v>
      </c>
      <c r="D12" s="10" t="s">
        <v>185</v>
      </c>
      <c r="E12" s="10"/>
      <c r="F12" s="10">
        <v>5</v>
      </c>
      <c r="G12" s="10"/>
      <c r="H12" s="10" t="s">
        <v>186</v>
      </c>
      <c r="I12" s="10" t="s">
        <v>165</v>
      </c>
      <c r="J12" s="110">
        <v>5</v>
      </c>
      <c r="K12" s="111" t="s">
        <v>315</v>
      </c>
      <c r="L12" s="111"/>
      <c r="M12" s="111"/>
      <c r="N12" s="159" t="s">
        <v>187</v>
      </c>
      <c r="O12" s="10"/>
      <c r="P12" s="10"/>
      <c r="Q12" s="10" t="s">
        <v>159</v>
      </c>
      <c r="R12" s="119">
        <v>38175</v>
      </c>
      <c r="T12" s="105"/>
    </row>
    <row r="13" spans="1:18" ht="12.75">
      <c r="A13" s="113" t="s">
        <v>183</v>
      </c>
      <c r="B13" s="113" t="s">
        <v>160</v>
      </c>
      <c r="C13" s="113" t="s">
        <v>328</v>
      </c>
      <c r="D13" s="113" t="s">
        <v>74</v>
      </c>
      <c r="E13" s="113" t="s">
        <v>329</v>
      </c>
      <c r="F13" s="113" t="s">
        <v>330</v>
      </c>
      <c r="G13" s="113"/>
      <c r="H13" s="113" t="s">
        <v>331</v>
      </c>
      <c r="I13" s="113" t="s">
        <v>156</v>
      </c>
      <c r="J13" s="114">
        <v>47803</v>
      </c>
      <c r="K13" s="115"/>
      <c r="L13" s="115"/>
      <c r="M13" s="115"/>
      <c r="N13" s="113" t="s">
        <v>332</v>
      </c>
      <c r="O13" s="113"/>
      <c r="P13" s="113"/>
      <c r="Q13" s="113" t="s">
        <v>334</v>
      </c>
      <c r="R13" s="118">
        <v>21399</v>
      </c>
    </row>
    <row r="14" spans="1:19" ht="12.75">
      <c r="A14" s="10" t="s">
        <v>188</v>
      </c>
      <c r="B14" s="10" t="s">
        <v>189</v>
      </c>
      <c r="C14" s="10" t="s">
        <v>190</v>
      </c>
      <c r="D14" s="10" t="s">
        <v>75</v>
      </c>
      <c r="E14" s="10" t="s">
        <v>326</v>
      </c>
      <c r="F14" s="10" t="s">
        <v>191</v>
      </c>
      <c r="G14" s="10"/>
      <c r="H14" s="10" t="s">
        <v>192</v>
      </c>
      <c r="I14" s="10" t="s">
        <v>165</v>
      </c>
      <c r="J14" s="110">
        <v>65433</v>
      </c>
      <c r="K14" s="111" t="s">
        <v>315</v>
      </c>
      <c r="L14" s="111"/>
      <c r="M14" s="111"/>
      <c r="N14" s="10"/>
      <c r="O14" s="10"/>
      <c r="P14" s="10"/>
      <c r="Q14" s="10" t="s">
        <v>168</v>
      </c>
      <c r="R14" s="119"/>
      <c r="S14" s="104"/>
    </row>
    <row r="15" spans="1:18" ht="12.75">
      <c r="A15" s="113" t="s">
        <v>175</v>
      </c>
      <c r="B15" s="113" t="s">
        <v>177</v>
      </c>
      <c r="C15" s="113" t="s">
        <v>178</v>
      </c>
      <c r="D15" s="113" t="s">
        <v>179</v>
      </c>
      <c r="E15" s="113"/>
      <c r="F15" s="113" t="s">
        <v>181</v>
      </c>
      <c r="G15" s="113"/>
      <c r="H15" s="113" t="s">
        <v>182</v>
      </c>
      <c r="I15" s="113" t="s">
        <v>156</v>
      </c>
      <c r="J15" s="114">
        <v>35433</v>
      </c>
      <c r="K15" s="115" t="s">
        <v>315</v>
      </c>
      <c r="L15" s="115"/>
      <c r="M15" s="115"/>
      <c r="N15" s="113"/>
      <c r="O15" s="113"/>
      <c r="P15" s="113"/>
      <c r="Q15" s="113" t="s">
        <v>170</v>
      </c>
      <c r="R15" s="118"/>
    </row>
    <row r="16" spans="1:18" ht="12.75">
      <c r="A16" s="10" t="s">
        <v>333</v>
      </c>
      <c r="B16" s="10" t="s">
        <v>160</v>
      </c>
      <c r="C16" s="10" t="s">
        <v>328</v>
      </c>
      <c r="D16" s="10" t="s">
        <v>74</v>
      </c>
      <c r="E16" s="10" t="s">
        <v>329</v>
      </c>
      <c r="F16" s="10" t="s">
        <v>330</v>
      </c>
      <c r="G16" s="10"/>
      <c r="H16" s="10" t="s">
        <v>331</v>
      </c>
      <c r="I16" s="10" t="s">
        <v>156</v>
      </c>
      <c r="J16" s="110">
        <v>47803</v>
      </c>
      <c r="K16" s="111"/>
      <c r="L16" s="111"/>
      <c r="M16" s="111"/>
      <c r="N16" s="10" t="s">
        <v>332</v>
      </c>
      <c r="O16" s="10"/>
      <c r="P16" s="10"/>
      <c r="Q16" s="10" t="s">
        <v>334</v>
      </c>
      <c r="R16" s="119">
        <v>21399</v>
      </c>
    </row>
    <row r="17" spans="1:18" ht="12.75">
      <c r="A17" s="10"/>
      <c r="B17" s="10"/>
      <c r="C17" s="10"/>
      <c r="D17" s="10"/>
      <c r="E17" s="10"/>
      <c r="F17" s="10"/>
      <c r="G17" s="146"/>
      <c r="H17" s="10"/>
      <c r="I17" s="110"/>
      <c r="J17" s="111"/>
      <c r="K17" s="111"/>
      <c r="L17" s="111"/>
      <c r="M17" s="10"/>
      <c r="N17" s="10"/>
      <c r="O17" s="10"/>
      <c r="P17" s="10"/>
      <c r="Q17" s="112"/>
      <c r="R17" s="10"/>
    </row>
    <row r="18" spans="1:18" ht="12.75">
      <c r="A18" s="10"/>
      <c r="B18" s="10"/>
      <c r="C18" s="10"/>
      <c r="D18" s="10"/>
      <c r="E18" s="10"/>
      <c r="F18" s="10"/>
      <c r="G18" s="146"/>
      <c r="H18" s="10"/>
      <c r="I18" s="110"/>
      <c r="J18" s="111"/>
      <c r="K18" s="111"/>
      <c r="L18" s="111"/>
      <c r="M18" s="10"/>
      <c r="N18" s="10"/>
      <c r="O18" s="10"/>
      <c r="P18" s="10"/>
      <c r="Q18" s="112"/>
      <c r="R18" s="10"/>
    </row>
    <row r="19" spans="1:18" ht="12.75">
      <c r="A19" s="10"/>
      <c r="B19" s="10"/>
      <c r="C19" s="10"/>
      <c r="D19" s="10"/>
      <c r="E19" s="10"/>
      <c r="F19" s="10"/>
      <c r="G19" s="146"/>
      <c r="H19" s="10"/>
      <c r="I19" s="110"/>
      <c r="J19" s="111"/>
      <c r="K19" s="111"/>
      <c r="L19" s="111"/>
      <c r="M19" s="10"/>
      <c r="N19" s="10"/>
      <c r="O19" s="10"/>
      <c r="P19" s="10"/>
      <c r="Q19" s="112"/>
      <c r="R19" s="10"/>
    </row>
    <row r="20" spans="1:18" ht="12.75">
      <c r="A20" s="10"/>
      <c r="B20" s="10"/>
      <c r="C20" s="10"/>
      <c r="D20" s="10"/>
      <c r="E20" s="10"/>
      <c r="F20" s="10"/>
      <c r="G20" s="146"/>
      <c r="H20" s="10"/>
      <c r="I20" s="110"/>
      <c r="J20" s="111"/>
      <c r="K20" s="111"/>
      <c r="L20" s="111"/>
      <c r="M20" s="10"/>
      <c r="N20" s="10"/>
      <c r="O20" s="10"/>
      <c r="P20" s="10"/>
      <c r="Q20" s="112"/>
      <c r="R20" s="10"/>
    </row>
    <row r="21" spans="1:18" ht="12.75">
      <c r="A21" s="10"/>
      <c r="B21" s="10"/>
      <c r="C21" s="10"/>
      <c r="D21" s="10"/>
      <c r="E21" s="10"/>
      <c r="F21" s="10"/>
      <c r="G21" s="146"/>
      <c r="H21" s="10"/>
      <c r="I21" s="110"/>
      <c r="J21" s="111"/>
      <c r="K21" s="111"/>
      <c r="L21" s="111"/>
      <c r="M21" s="10"/>
      <c r="N21" s="10"/>
      <c r="O21" s="10"/>
      <c r="P21" s="10"/>
      <c r="Q21" s="112"/>
      <c r="R21" s="10"/>
    </row>
    <row r="22" spans="1:18" ht="12.75">
      <c r="A22" s="10"/>
      <c r="B22" s="10"/>
      <c r="C22" s="10"/>
      <c r="D22" s="10"/>
      <c r="E22" s="10"/>
      <c r="F22" s="10"/>
      <c r="G22" s="146"/>
      <c r="H22" s="10"/>
      <c r="I22" s="110"/>
      <c r="J22" s="111"/>
      <c r="K22" s="111"/>
      <c r="L22" s="111"/>
      <c r="M22" s="10"/>
      <c r="N22" s="10"/>
      <c r="O22" s="10"/>
      <c r="P22" s="10"/>
      <c r="Q22" s="112"/>
      <c r="R22" s="10"/>
    </row>
    <row r="23" spans="1:18" ht="12.75">
      <c r="A23" s="10"/>
      <c r="B23" s="10"/>
      <c r="C23" s="10"/>
      <c r="D23" s="10"/>
      <c r="E23" s="10"/>
      <c r="F23" s="10"/>
      <c r="G23" s="146"/>
      <c r="H23" s="10"/>
      <c r="I23" s="110"/>
      <c r="J23" s="111"/>
      <c r="K23" s="111"/>
      <c r="L23" s="111"/>
      <c r="M23" s="10"/>
      <c r="N23" s="10"/>
      <c r="O23" s="10"/>
      <c r="P23" s="10"/>
      <c r="Q23" s="112"/>
      <c r="R23" s="10"/>
    </row>
    <row r="24" spans="1:18" ht="12.75">
      <c r="A24" s="10"/>
      <c r="B24" s="10"/>
      <c r="C24" s="10"/>
      <c r="D24" s="10"/>
      <c r="E24" s="10"/>
      <c r="F24" s="10"/>
      <c r="G24" s="146"/>
      <c r="H24" s="10"/>
      <c r="I24" s="110"/>
      <c r="J24" s="111"/>
      <c r="K24" s="111"/>
      <c r="L24" s="111"/>
      <c r="M24" s="10"/>
      <c r="N24" s="10"/>
      <c r="O24" s="10"/>
      <c r="P24" s="10"/>
      <c r="Q24" s="112"/>
      <c r="R24" s="10"/>
    </row>
    <row r="25" spans="1:18" ht="12.75">
      <c r="A25" s="10"/>
      <c r="B25" s="10"/>
      <c r="C25" s="10"/>
      <c r="D25" s="10"/>
      <c r="E25" s="10"/>
      <c r="F25" s="10"/>
      <c r="G25" s="146"/>
      <c r="H25" s="10"/>
      <c r="I25" s="110"/>
      <c r="J25" s="111"/>
      <c r="K25" s="111"/>
      <c r="L25" s="111"/>
      <c r="M25" s="10"/>
      <c r="N25" s="10"/>
      <c r="O25" s="10"/>
      <c r="P25" s="10"/>
      <c r="Q25" s="112"/>
      <c r="R25" s="10"/>
    </row>
    <row r="26" spans="1:18" ht="12.75">
      <c r="A26" s="10"/>
      <c r="B26" s="10"/>
      <c r="C26" s="10"/>
      <c r="D26" s="10"/>
      <c r="E26" s="10"/>
      <c r="F26" s="10"/>
      <c r="G26" s="146"/>
      <c r="H26" s="10"/>
      <c r="I26" s="110"/>
      <c r="J26" s="111"/>
      <c r="K26" s="111"/>
      <c r="L26" s="111"/>
      <c r="M26" s="10"/>
      <c r="N26" s="10"/>
      <c r="O26" s="10"/>
      <c r="P26" s="10"/>
      <c r="Q26" s="112"/>
      <c r="R26" s="10"/>
    </row>
    <row r="27" spans="1:18" ht="12.75">
      <c r="A27" s="10"/>
      <c r="B27" s="10"/>
      <c r="C27" s="10"/>
      <c r="D27" s="10"/>
      <c r="E27" s="10"/>
      <c r="F27" s="10"/>
      <c r="G27" s="146"/>
      <c r="H27" s="10"/>
      <c r="I27" s="110"/>
      <c r="J27" s="111"/>
      <c r="K27" s="111"/>
      <c r="L27" s="111"/>
      <c r="M27" s="10"/>
      <c r="N27" s="10"/>
      <c r="O27" s="10"/>
      <c r="P27" s="10"/>
      <c r="Q27" s="112"/>
      <c r="R27" s="10"/>
    </row>
    <row r="28" spans="1:18" ht="12.75">
      <c r="A28" s="10"/>
      <c r="B28" s="10"/>
      <c r="C28" s="10"/>
      <c r="D28" s="10"/>
      <c r="E28" s="10"/>
      <c r="F28" s="10"/>
      <c r="G28" s="146"/>
      <c r="H28" s="10"/>
      <c r="I28" s="110"/>
      <c r="J28" s="111"/>
      <c r="K28" s="111"/>
      <c r="L28" s="111"/>
      <c r="M28" s="10"/>
      <c r="N28" s="10"/>
      <c r="O28" s="10"/>
      <c r="P28" s="10"/>
      <c r="Q28" s="112"/>
      <c r="R28" s="10"/>
    </row>
    <row r="29" spans="9:17" ht="12.75">
      <c r="I29" s="74"/>
      <c r="J29" s="55"/>
      <c r="K29" s="55"/>
      <c r="L29" s="55"/>
      <c r="Q29" s="102"/>
    </row>
    <row r="30" spans="9:17" ht="12.75">
      <c r="I30" s="74"/>
      <c r="J30" s="55"/>
      <c r="K30" s="55"/>
      <c r="L30" s="55"/>
      <c r="Q30" s="102"/>
    </row>
    <row r="31" spans="9:17" ht="12.75">
      <c r="I31" s="74"/>
      <c r="J31" s="55"/>
      <c r="K31" s="55"/>
      <c r="L31" s="55"/>
      <c r="Q31" s="102"/>
    </row>
    <row r="32" spans="9:17" ht="12.75">
      <c r="I32" s="74"/>
      <c r="J32" s="55"/>
      <c r="K32" s="55"/>
      <c r="L32" s="55"/>
      <c r="Q32" s="102"/>
    </row>
    <row r="33" spans="9:17" ht="12.75">
      <c r="I33" s="74"/>
      <c r="J33" s="55"/>
      <c r="K33" s="55"/>
      <c r="L33" s="55"/>
      <c r="Q33" s="102"/>
    </row>
    <row r="34" spans="9:17" ht="12.75">
      <c r="I34" s="74"/>
      <c r="J34" s="55"/>
      <c r="K34" s="55"/>
      <c r="L34" s="55"/>
      <c r="Q34" s="102"/>
    </row>
    <row r="35" spans="9:17" ht="12.75">
      <c r="I35" s="74"/>
      <c r="J35" s="55"/>
      <c r="K35" s="55"/>
      <c r="L35" s="55"/>
      <c r="Q35" s="102"/>
    </row>
    <row r="36" spans="9:17" ht="12.75">
      <c r="I36" s="74"/>
      <c r="J36" s="55"/>
      <c r="K36" s="55"/>
      <c r="L36" s="55"/>
      <c r="Q36" s="102"/>
    </row>
    <row r="37" spans="9:17" ht="12.75">
      <c r="I37" s="74"/>
      <c r="J37" s="55"/>
      <c r="K37" s="55"/>
      <c r="L37" s="55"/>
      <c r="Q37" s="102"/>
    </row>
    <row r="38" spans="9:17" ht="12.75">
      <c r="I38" s="74"/>
      <c r="J38" s="55"/>
      <c r="K38" s="55"/>
      <c r="L38" s="55"/>
      <c r="Q38" s="102"/>
    </row>
    <row r="39" spans="9:17" ht="12.75">
      <c r="I39" s="74"/>
      <c r="J39" s="55"/>
      <c r="K39" s="55"/>
      <c r="L39" s="55"/>
      <c r="Q39" s="102"/>
    </row>
    <row r="40" spans="9:17" ht="12.75">
      <c r="I40" s="74"/>
      <c r="J40" s="55"/>
      <c r="K40" s="55"/>
      <c r="L40" s="55"/>
      <c r="Q40" s="102"/>
    </row>
    <row r="41" spans="9:17" ht="12.75">
      <c r="I41" s="74"/>
      <c r="J41" s="55"/>
      <c r="K41" s="55"/>
      <c r="L41" s="55"/>
      <c r="Q41" s="102"/>
    </row>
    <row r="42" spans="9:17" ht="12.75">
      <c r="I42" s="74"/>
      <c r="J42" s="55"/>
      <c r="K42" s="55"/>
      <c r="L42" s="55"/>
      <c r="Q42" s="102"/>
    </row>
    <row r="43" spans="9:17" ht="12.75">
      <c r="I43" s="74"/>
      <c r="J43" s="55"/>
      <c r="K43" s="55"/>
      <c r="L43" s="55"/>
      <c r="Q43" s="102"/>
    </row>
    <row r="44" spans="9:17" ht="12.75">
      <c r="I44" s="74"/>
      <c r="J44" s="55"/>
      <c r="K44" s="55"/>
      <c r="L44" s="55"/>
      <c r="Q44" s="102"/>
    </row>
    <row r="45" spans="9:17" ht="12.75">
      <c r="I45" s="74"/>
      <c r="J45" s="55"/>
      <c r="K45" s="55"/>
      <c r="L45" s="55"/>
      <c r="Q45" s="102"/>
    </row>
    <row r="46" spans="9:17" ht="12.75">
      <c r="I46" s="74"/>
      <c r="J46" s="55"/>
      <c r="K46" s="55"/>
      <c r="L46" s="55"/>
      <c r="Q46" s="102"/>
    </row>
    <row r="47" spans="9:17" ht="12.75">
      <c r="I47" s="74"/>
      <c r="J47" s="55"/>
      <c r="K47" s="55"/>
      <c r="L47" s="55"/>
      <c r="Q47" s="102"/>
    </row>
    <row r="48" spans="9:17" ht="12.75">
      <c r="I48" s="74"/>
      <c r="J48" s="55"/>
      <c r="K48" s="55"/>
      <c r="L48" s="55"/>
      <c r="Q48" s="102"/>
    </row>
    <row r="49" spans="9:17" ht="12.75">
      <c r="I49" s="74"/>
      <c r="J49" s="55"/>
      <c r="K49" s="55"/>
      <c r="L49" s="55"/>
      <c r="Q49" s="102"/>
    </row>
    <row r="50" spans="9:17" ht="12.75">
      <c r="I50" s="74"/>
      <c r="J50" s="55"/>
      <c r="K50" s="55"/>
      <c r="L50" s="55"/>
      <c r="Q50" s="102"/>
    </row>
    <row r="51" spans="9:17" ht="12.75">
      <c r="I51" s="74"/>
      <c r="J51" s="55"/>
      <c r="K51" s="55"/>
      <c r="L51" s="55"/>
      <c r="Q51" s="102"/>
    </row>
    <row r="52" spans="9:17" ht="12.75">
      <c r="I52" s="74"/>
      <c r="J52" s="55"/>
      <c r="K52" s="55"/>
      <c r="L52" s="55"/>
      <c r="Q52" s="102"/>
    </row>
    <row r="53" spans="9:17" ht="12.75">
      <c r="I53" s="74"/>
      <c r="J53" s="55"/>
      <c r="K53" s="55"/>
      <c r="L53" s="55"/>
      <c r="Q53" s="102"/>
    </row>
    <row r="54" spans="9:17" ht="12.75">
      <c r="I54" s="74"/>
      <c r="J54" s="55"/>
      <c r="K54" s="55"/>
      <c r="L54" s="55"/>
      <c r="Q54" s="102"/>
    </row>
    <row r="55" spans="9:17" ht="12.75">
      <c r="I55" s="74"/>
      <c r="J55" s="55"/>
      <c r="K55" s="55"/>
      <c r="L55" s="55"/>
      <c r="Q55" s="102"/>
    </row>
    <row r="56" spans="9:17" ht="12.75">
      <c r="I56" s="74"/>
      <c r="J56" s="55"/>
      <c r="K56" s="55"/>
      <c r="L56" s="55"/>
      <c r="Q56" s="102"/>
    </row>
    <row r="57" spans="9:17" ht="12.75">
      <c r="I57" s="74"/>
      <c r="J57" s="55"/>
      <c r="K57" s="55"/>
      <c r="L57" s="55"/>
      <c r="Q57" s="102"/>
    </row>
    <row r="58" spans="9:17" ht="12.75">
      <c r="I58" s="74"/>
      <c r="J58" s="55"/>
      <c r="K58" s="55"/>
      <c r="L58" s="55"/>
      <c r="Q58" s="102"/>
    </row>
    <row r="59" spans="9:17" ht="12.75">
      <c r="I59" s="74"/>
      <c r="J59" s="55"/>
      <c r="K59" s="55"/>
      <c r="L59" s="55"/>
      <c r="Q59" s="102"/>
    </row>
    <row r="60" spans="9:17" ht="12.75">
      <c r="I60" s="74"/>
      <c r="J60" s="55"/>
      <c r="K60" s="55"/>
      <c r="L60" s="55"/>
      <c r="Q60" s="102"/>
    </row>
    <row r="61" spans="9:17" ht="12.75">
      <c r="I61" s="74"/>
      <c r="J61" s="55"/>
      <c r="K61" s="55"/>
      <c r="L61" s="55"/>
      <c r="Q61" s="102"/>
    </row>
    <row r="62" spans="9:17" ht="12.75">
      <c r="I62" s="74"/>
      <c r="J62" s="55"/>
      <c r="K62" s="55"/>
      <c r="L62" s="55"/>
      <c r="Q62" s="102"/>
    </row>
    <row r="63" spans="9:17" ht="12.75">
      <c r="I63" s="74"/>
      <c r="J63" s="55"/>
      <c r="K63" s="55"/>
      <c r="L63" s="55"/>
      <c r="Q63" s="102"/>
    </row>
    <row r="64" spans="9:17" ht="12.75">
      <c r="I64" s="74"/>
      <c r="J64" s="55"/>
      <c r="K64" s="55"/>
      <c r="L64" s="55"/>
      <c r="Q64" s="102"/>
    </row>
    <row r="65" spans="9:17" ht="12.75">
      <c r="I65" s="74"/>
      <c r="J65" s="55"/>
      <c r="K65" s="55"/>
      <c r="L65" s="55"/>
      <c r="Q65" s="102"/>
    </row>
    <row r="66" spans="9:17" ht="12.75">
      <c r="I66" s="74"/>
      <c r="J66" s="55"/>
      <c r="K66" s="55"/>
      <c r="L66" s="55"/>
      <c r="Q66" s="102"/>
    </row>
    <row r="67" spans="9:17" ht="12.75">
      <c r="I67" s="74"/>
      <c r="J67" s="55"/>
      <c r="K67" s="55"/>
      <c r="L67" s="55"/>
      <c r="Q67" s="102"/>
    </row>
    <row r="68" spans="9:17" ht="12.75">
      <c r="I68" s="74"/>
      <c r="J68" s="55"/>
      <c r="K68" s="55"/>
      <c r="L68" s="55"/>
      <c r="Q68" s="102"/>
    </row>
    <row r="69" spans="9:17" ht="12.75">
      <c r="I69" s="74"/>
      <c r="J69" s="55"/>
      <c r="K69" s="55"/>
      <c r="L69" s="55"/>
      <c r="Q69" s="102"/>
    </row>
    <row r="70" spans="9:17" ht="12.75">
      <c r="I70" s="74"/>
      <c r="J70" s="55"/>
      <c r="K70" s="55"/>
      <c r="L70" s="55"/>
      <c r="Q70" s="102"/>
    </row>
    <row r="71" spans="9:17" ht="12.75">
      <c r="I71" s="74"/>
      <c r="J71" s="55"/>
      <c r="K71" s="55"/>
      <c r="L71" s="55"/>
      <c r="Q71" s="102"/>
    </row>
    <row r="72" spans="9:17" ht="12.75">
      <c r="I72" s="74"/>
      <c r="J72" s="55"/>
      <c r="K72" s="55"/>
      <c r="L72" s="55"/>
      <c r="Q72" s="102"/>
    </row>
    <row r="73" spans="9:17" ht="12.75">
      <c r="I73" s="74"/>
      <c r="J73" s="55"/>
      <c r="K73" s="55"/>
      <c r="L73" s="55"/>
      <c r="Q73" s="102"/>
    </row>
    <row r="74" spans="9:17" ht="12.75">
      <c r="I74" s="74"/>
      <c r="J74" s="55"/>
      <c r="K74" s="55"/>
      <c r="L74" s="55"/>
      <c r="Q74" s="102"/>
    </row>
    <row r="75" spans="9:17" ht="12.75">
      <c r="I75" s="74"/>
      <c r="J75" s="55"/>
      <c r="K75" s="55"/>
      <c r="L75" s="55"/>
      <c r="Q75" s="102"/>
    </row>
    <row r="76" spans="9:17" ht="12.75">
      <c r="I76" s="74"/>
      <c r="J76" s="55"/>
      <c r="K76" s="55"/>
      <c r="L76" s="55"/>
      <c r="Q76" s="102"/>
    </row>
    <row r="77" spans="9:17" ht="12.75">
      <c r="I77" s="74"/>
      <c r="J77" s="55"/>
      <c r="K77" s="55"/>
      <c r="L77" s="55"/>
      <c r="Q77" s="102"/>
    </row>
    <row r="78" spans="9:17" ht="12.75">
      <c r="I78" s="74"/>
      <c r="J78" s="55"/>
      <c r="K78" s="55"/>
      <c r="L78" s="55"/>
      <c r="Q78" s="102"/>
    </row>
    <row r="79" spans="9:17" ht="12.75">
      <c r="I79" s="74"/>
      <c r="J79" s="55"/>
      <c r="K79" s="55"/>
      <c r="L79" s="55"/>
      <c r="Q79" s="102"/>
    </row>
    <row r="80" spans="9:17" ht="12.75">
      <c r="I80" s="74"/>
      <c r="J80" s="55"/>
      <c r="K80" s="55"/>
      <c r="L80" s="55"/>
      <c r="Q80" s="102"/>
    </row>
    <row r="81" spans="9:17" ht="12.75">
      <c r="I81" s="74"/>
      <c r="J81" s="55"/>
      <c r="K81" s="55"/>
      <c r="L81" s="55"/>
      <c r="Q81" s="102"/>
    </row>
    <row r="82" spans="9:17" ht="12.75">
      <c r="I82" s="74"/>
      <c r="J82" s="55"/>
      <c r="K82" s="55"/>
      <c r="L82" s="55"/>
      <c r="Q82" s="102"/>
    </row>
    <row r="83" spans="9:17" ht="12.75">
      <c r="I83" s="74"/>
      <c r="J83" s="55"/>
      <c r="K83" s="55"/>
      <c r="L83" s="55"/>
      <c r="Q83" s="102"/>
    </row>
    <row r="84" spans="9:17" ht="12.75">
      <c r="I84" s="74"/>
      <c r="J84" s="55"/>
      <c r="K84" s="55"/>
      <c r="L84" s="55"/>
      <c r="Q84" s="102"/>
    </row>
    <row r="85" spans="9:17" ht="12.75">
      <c r="I85" s="74"/>
      <c r="J85" s="55"/>
      <c r="K85" s="55"/>
      <c r="L85" s="55"/>
      <c r="Q85" s="102"/>
    </row>
    <row r="86" spans="9:17" ht="12.75">
      <c r="I86" s="74"/>
      <c r="J86" s="55"/>
      <c r="K86" s="55"/>
      <c r="L86" s="55"/>
      <c r="Q86" s="102"/>
    </row>
    <row r="87" spans="9:17" ht="12.75">
      <c r="I87" s="74"/>
      <c r="J87" s="55"/>
      <c r="K87" s="55"/>
      <c r="L87" s="55"/>
      <c r="Q87" s="102"/>
    </row>
    <row r="88" spans="9:17" ht="12.75">
      <c r="I88" s="74"/>
      <c r="J88" s="55"/>
      <c r="K88" s="55"/>
      <c r="L88" s="55"/>
      <c r="Q88" s="102"/>
    </row>
    <row r="89" spans="9:17" ht="12.75">
      <c r="I89" s="74"/>
      <c r="J89" s="55"/>
      <c r="K89" s="55"/>
      <c r="L89" s="55"/>
      <c r="Q89" s="102"/>
    </row>
    <row r="90" spans="9:17" ht="12.75">
      <c r="I90" s="74"/>
      <c r="J90" s="55"/>
      <c r="K90" s="55"/>
      <c r="L90" s="55"/>
      <c r="Q90" s="102"/>
    </row>
    <row r="91" spans="9:17" ht="12.75">
      <c r="I91" s="74"/>
      <c r="J91" s="55"/>
      <c r="K91" s="55"/>
      <c r="L91" s="55"/>
      <c r="Q91" s="102"/>
    </row>
    <row r="92" spans="9:17" ht="12.75">
      <c r="I92" s="74"/>
      <c r="J92" s="55"/>
      <c r="K92" s="55"/>
      <c r="L92" s="55"/>
      <c r="Q92" s="102"/>
    </row>
    <row r="93" spans="9:17" ht="12.75">
      <c r="I93" s="74"/>
      <c r="J93" s="55"/>
      <c r="K93" s="55"/>
      <c r="L93" s="55"/>
      <c r="Q93" s="102"/>
    </row>
    <row r="94" spans="9:17" ht="12.75">
      <c r="I94" s="74"/>
      <c r="J94" s="55"/>
      <c r="K94" s="55"/>
      <c r="L94" s="55"/>
      <c r="Q94" s="102"/>
    </row>
    <row r="95" spans="9:17" ht="12.75">
      <c r="I95" s="74"/>
      <c r="J95" s="55"/>
      <c r="K95" s="55"/>
      <c r="L95" s="55"/>
      <c r="Q95" s="102"/>
    </row>
    <row r="96" spans="9:17" ht="12.75">
      <c r="I96" s="74"/>
      <c r="J96" s="55"/>
      <c r="K96" s="55"/>
      <c r="L96" s="55"/>
      <c r="Q96" s="102"/>
    </row>
    <row r="97" spans="9:17" ht="12.75">
      <c r="I97" s="74"/>
      <c r="J97" s="55"/>
      <c r="K97" s="55"/>
      <c r="L97" s="55"/>
      <c r="Q97" s="102"/>
    </row>
    <row r="98" spans="9:17" ht="12.75">
      <c r="I98" s="74"/>
      <c r="J98" s="55"/>
      <c r="K98" s="55"/>
      <c r="L98" s="55"/>
      <c r="Q98" s="102"/>
    </row>
    <row r="99" spans="9:17" ht="12.75">
      <c r="I99" s="74"/>
      <c r="J99" s="55"/>
      <c r="K99" s="55"/>
      <c r="L99" s="55"/>
      <c r="Q99" s="102"/>
    </row>
    <row r="100" spans="9:17" ht="12.75">
      <c r="I100" s="74"/>
      <c r="J100" s="55"/>
      <c r="K100" s="55"/>
      <c r="L100" s="55"/>
      <c r="Q100" s="102"/>
    </row>
    <row r="101" spans="9:17" ht="12.75">
      <c r="I101" s="74"/>
      <c r="J101" s="55"/>
      <c r="K101" s="55"/>
      <c r="L101" s="55"/>
      <c r="Q101" s="102"/>
    </row>
    <row r="102" spans="9:17" ht="12.75">
      <c r="I102" s="74"/>
      <c r="J102" s="55"/>
      <c r="K102" s="55"/>
      <c r="L102" s="55"/>
      <c r="Q102" s="102"/>
    </row>
    <row r="103" spans="9:17" ht="12.75">
      <c r="I103" s="74"/>
      <c r="J103" s="55"/>
      <c r="K103" s="55"/>
      <c r="L103" s="55"/>
      <c r="Q103" s="102"/>
    </row>
    <row r="104" spans="9:17" ht="12.75">
      <c r="I104" s="74"/>
      <c r="J104" s="55"/>
      <c r="K104" s="55"/>
      <c r="L104" s="55"/>
      <c r="Q104" s="102"/>
    </row>
    <row r="105" spans="9:17" ht="12.75">
      <c r="I105" s="74"/>
      <c r="J105" s="55"/>
      <c r="K105" s="55"/>
      <c r="L105" s="55"/>
      <c r="Q105" s="102"/>
    </row>
    <row r="106" spans="9:17" ht="12.75">
      <c r="I106" s="74"/>
      <c r="J106" s="55"/>
      <c r="K106" s="55"/>
      <c r="L106" s="55"/>
      <c r="Q106" s="102"/>
    </row>
    <row r="107" spans="9:17" ht="12.75">
      <c r="I107" s="74"/>
      <c r="J107" s="55"/>
      <c r="K107" s="55"/>
      <c r="L107" s="55"/>
      <c r="Q107" s="102"/>
    </row>
    <row r="108" spans="9:17" ht="12.75">
      <c r="I108" s="74"/>
      <c r="J108" s="55"/>
      <c r="K108" s="55"/>
      <c r="L108" s="55"/>
      <c r="Q108" s="102"/>
    </row>
    <row r="109" spans="9:17" ht="12.75">
      <c r="I109" s="74"/>
      <c r="J109" s="55"/>
      <c r="K109" s="55"/>
      <c r="L109" s="55"/>
      <c r="Q109" s="102"/>
    </row>
    <row r="110" spans="9:17" ht="12.75">
      <c r="I110" s="74"/>
      <c r="J110" s="55"/>
      <c r="K110" s="55"/>
      <c r="L110" s="55"/>
      <c r="Q110" s="102"/>
    </row>
    <row r="111" spans="9:17" ht="12.75">
      <c r="I111" s="74"/>
      <c r="J111" s="55"/>
      <c r="K111" s="55"/>
      <c r="L111" s="55"/>
      <c r="Q111" s="102"/>
    </row>
    <row r="112" spans="9:17" ht="12.75">
      <c r="I112" s="74"/>
      <c r="J112" s="55"/>
      <c r="K112" s="55"/>
      <c r="L112" s="55"/>
      <c r="Q112" s="102"/>
    </row>
    <row r="113" spans="9:17" ht="12.75">
      <c r="I113" s="74"/>
      <c r="J113" s="55"/>
      <c r="K113" s="55"/>
      <c r="L113" s="55"/>
      <c r="Q113" s="102"/>
    </row>
    <row r="114" spans="9:17" ht="12.75">
      <c r="I114" s="74"/>
      <c r="J114" s="55"/>
      <c r="K114" s="55"/>
      <c r="L114" s="55"/>
      <c r="Q114" s="102"/>
    </row>
    <row r="115" spans="9:17" ht="12.75">
      <c r="I115" s="74"/>
      <c r="J115" s="55"/>
      <c r="K115" s="55"/>
      <c r="L115" s="55"/>
      <c r="Q115" s="102"/>
    </row>
    <row r="116" spans="9:17" ht="12.75">
      <c r="I116" s="74"/>
      <c r="J116" s="55"/>
      <c r="K116" s="55"/>
      <c r="L116" s="55"/>
      <c r="Q116" s="102"/>
    </row>
    <row r="117" spans="9:17" ht="12.75">
      <c r="I117" s="74"/>
      <c r="J117" s="55"/>
      <c r="K117" s="55"/>
      <c r="L117" s="55"/>
      <c r="Q117" s="102"/>
    </row>
    <row r="118" spans="9:17" ht="12.75">
      <c r="I118" s="74"/>
      <c r="J118" s="55"/>
      <c r="K118" s="55"/>
      <c r="L118" s="55"/>
      <c r="Q118" s="102"/>
    </row>
    <row r="119" spans="9:17" ht="12.75">
      <c r="I119" s="74"/>
      <c r="J119" s="55"/>
      <c r="K119" s="55"/>
      <c r="L119" s="55"/>
      <c r="Q119" s="102"/>
    </row>
    <row r="120" spans="9:17" ht="12.75">
      <c r="I120" s="74"/>
      <c r="J120" s="55"/>
      <c r="K120" s="55"/>
      <c r="L120" s="55"/>
      <c r="Q120" s="102"/>
    </row>
    <row r="121" spans="9:17" ht="12.75">
      <c r="I121" s="74"/>
      <c r="J121" s="55"/>
      <c r="K121" s="55"/>
      <c r="L121" s="55"/>
      <c r="Q121" s="102"/>
    </row>
    <row r="122" spans="9:17" ht="12.75">
      <c r="I122" s="74"/>
      <c r="J122" s="55"/>
      <c r="K122" s="55"/>
      <c r="L122" s="55"/>
      <c r="Q122" s="102"/>
    </row>
    <row r="123" spans="9:17" ht="12.75">
      <c r="I123" s="74"/>
      <c r="J123" s="55"/>
      <c r="K123" s="55"/>
      <c r="L123" s="55"/>
      <c r="Q123" s="102"/>
    </row>
    <row r="124" spans="9:17" ht="12.75">
      <c r="I124" s="74"/>
      <c r="J124" s="55"/>
      <c r="K124" s="55"/>
      <c r="L124" s="55"/>
      <c r="Q124" s="102"/>
    </row>
    <row r="125" spans="9:17" ht="12.75">
      <c r="I125" s="74"/>
      <c r="J125" s="55"/>
      <c r="K125" s="55"/>
      <c r="L125" s="55"/>
      <c r="Q125" s="102"/>
    </row>
    <row r="126" spans="9:17" ht="12.75">
      <c r="I126" s="74"/>
      <c r="J126" s="55"/>
      <c r="K126" s="55"/>
      <c r="L126" s="55"/>
      <c r="Q126" s="102"/>
    </row>
    <row r="127" spans="9:17" ht="12.75">
      <c r="I127" s="74"/>
      <c r="J127" s="55"/>
      <c r="K127" s="55"/>
      <c r="L127" s="55"/>
      <c r="Q127" s="102"/>
    </row>
    <row r="128" spans="9:17" ht="12.75">
      <c r="I128" s="74"/>
      <c r="J128" s="55"/>
      <c r="K128" s="55"/>
      <c r="L128" s="55"/>
      <c r="Q128" s="102"/>
    </row>
    <row r="129" spans="9:17" ht="12.75">
      <c r="I129" s="74"/>
      <c r="J129" s="55"/>
      <c r="K129" s="55"/>
      <c r="L129" s="55"/>
      <c r="Q129" s="102"/>
    </row>
    <row r="130" spans="9:17" ht="12.75">
      <c r="I130" s="74"/>
      <c r="J130" s="55"/>
      <c r="K130" s="55"/>
      <c r="L130" s="55"/>
      <c r="Q130" s="102"/>
    </row>
    <row r="131" spans="9:17" ht="12.75">
      <c r="I131" s="74"/>
      <c r="J131" s="55"/>
      <c r="K131" s="55"/>
      <c r="L131" s="55"/>
      <c r="Q131" s="102"/>
    </row>
    <row r="132" spans="9:17" ht="12.75">
      <c r="I132" s="74"/>
      <c r="J132" s="55"/>
      <c r="K132" s="55"/>
      <c r="L132" s="55"/>
      <c r="Q132" s="102"/>
    </row>
    <row r="133" spans="9:17" ht="12.75">
      <c r="I133" s="74"/>
      <c r="J133" s="55"/>
      <c r="K133" s="55"/>
      <c r="L133" s="55"/>
      <c r="Q133" s="102"/>
    </row>
    <row r="134" spans="9:17" ht="12.75">
      <c r="I134" s="74"/>
      <c r="J134" s="55"/>
      <c r="K134" s="55"/>
      <c r="L134" s="55"/>
      <c r="Q134" s="102"/>
    </row>
    <row r="135" spans="9:17" ht="12.75">
      <c r="I135" s="74"/>
      <c r="J135" s="55"/>
      <c r="K135" s="55"/>
      <c r="L135" s="55"/>
      <c r="Q135" s="102"/>
    </row>
    <row r="136" spans="9:17" ht="12.75">
      <c r="I136" s="74"/>
      <c r="J136" s="55"/>
      <c r="K136" s="55"/>
      <c r="L136" s="55"/>
      <c r="Q136" s="102"/>
    </row>
    <row r="137" spans="9:17" ht="12.75">
      <c r="I137" s="74"/>
      <c r="J137" s="55"/>
      <c r="K137" s="55"/>
      <c r="L137" s="55"/>
      <c r="Q137" s="102"/>
    </row>
    <row r="138" spans="9:17" ht="12.75">
      <c r="I138" s="74"/>
      <c r="J138" s="55"/>
      <c r="K138" s="55"/>
      <c r="L138" s="55"/>
      <c r="Q138" s="102"/>
    </row>
    <row r="139" spans="9:17" ht="12.75">
      <c r="I139" s="74"/>
      <c r="J139" s="55"/>
      <c r="K139" s="55"/>
      <c r="L139" s="55"/>
      <c r="Q139" s="102"/>
    </row>
    <row r="140" spans="9:17" ht="12.75">
      <c r="I140" s="74"/>
      <c r="J140" s="55"/>
      <c r="K140" s="55"/>
      <c r="L140" s="55"/>
      <c r="Q140" s="102"/>
    </row>
    <row r="141" spans="9:17" ht="12.75">
      <c r="I141" s="74"/>
      <c r="J141" s="55"/>
      <c r="K141" s="55"/>
      <c r="L141" s="55"/>
      <c r="Q141" s="102"/>
    </row>
    <row r="142" spans="9:17" ht="12.75">
      <c r="I142" s="74"/>
      <c r="J142" s="55"/>
      <c r="K142" s="55"/>
      <c r="L142" s="55"/>
      <c r="Q142" s="102"/>
    </row>
    <row r="143" spans="9:17" ht="12.75">
      <c r="I143" s="74"/>
      <c r="J143" s="55"/>
      <c r="K143" s="55"/>
      <c r="L143" s="55"/>
      <c r="Q143" s="102"/>
    </row>
    <row r="144" spans="9:17" ht="12.75">
      <c r="I144" s="74"/>
      <c r="J144" s="55"/>
      <c r="K144" s="55"/>
      <c r="L144" s="55"/>
      <c r="Q144" s="102"/>
    </row>
    <row r="145" spans="9:17" ht="12.75">
      <c r="I145" s="74"/>
      <c r="J145" s="55"/>
      <c r="K145" s="55"/>
      <c r="L145" s="55"/>
      <c r="Q145" s="102"/>
    </row>
    <row r="146" spans="9:17" ht="12.75">
      <c r="I146" s="74"/>
      <c r="J146" s="55"/>
      <c r="K146" s="55"/>
      <c r="L146" s="55"/>
      <c r="Q146" s="102"/>
    </row>
    <row r="147" spans="9:17" ht="12.75">
      <c r="I147" s="74"/>
      <c r="J147" s="55"/>
      <c r="K147" s="55"/>
      <c r="L147" s="55"/>
      <c r="Q147" s="102"/>
    </row>
    <row r="148" spans="9:17" ht="12.75">
      <c r="I148" s="74"/>
      <c r="J148" s="55"/>
      <c r="K148" s="55"/>
      <c r="L148" s="55"/>
      <c r="Q148" s="102"/>
    </row>
    <row r="149" spans="9:17" ht="12.75">
      <c r="I149" s="74"/>
      <c r="J149" s="55"/>
      <c r="K149" s="55"/>
      <c r="L149" s="55"/>
      <c r="Q149" s="102"/>
    </row>
    <row r="150" spans="9:17" ht="12.75">
      <c r="I150" s="74"/>
      <c r="J150" s="55"/>
      <c r="K150" s="55"/>
      <c r="L150" s="55"/>
      <c r="Q150" s="102"/>
    </row>
    <row r="151" spans="9:17" ht="12.75">
      <c r="I151" s="74"/>
      <c r="J151" s="55"/>
      <c r="K151" s="55"/>
      <c r="L151" s="55"/>
      <c r="Q151" s="102"/>
    </row>
    <row r="152" spans="9:17" ht="12.75">
      <c r="I152" s="74"/>
      <c r="J152" s="55"/>
      <c r="K152" s="55"/>
      <c r="L152" s="55"/>
      <c r="Q152" s="102"/>
    </row>
    <row r="153" spans="9:17" ht="12.75">
      <c r="I153" s="74"/>
      <c r="J153" s="55"/>
      <c r="K153" s="55"/>
      <c r="L153" s="55"/>
      <c r="Q153" s="102"/>
    </row>
    <row r="154" spans="9:17" ht="12.75">
      <c r="I154" s="74"/>
      <c r="J154" s="55"/>
      <c r="K154" s="55"/>
      <c r="L154" s="55"/>
      <c r="Q154" s="102"/>
    </row>
    <row r="155" spans="9:17" ht="12.75">
      <c r="I155" s="74"/>
      <c r="J155" s="55"/>
      <c r="K155" s="55"/>
      <c r="L155" s="55"/>
      <c r="Q155" s="102"/>
    </row>
    <row r="156" spans="9:17" ht="12.75">
      <c r="I156" s="74"/>
      <c r="J156" s="55"/>
      <c r="K156" s="55"/>
      <c r="L156" s="55"/>
      <c r="Q156" s="102"/>
    </row>
    <row r="157" spans="9:17" ht="12.75">
      <c r="I157" s="74"/>
      <c r="J157" s="55"/>
      <c r="K157" s="55"/>
      <c r="L157" s="55"/>
      <c r="Q157" s="102"/>
    </row>
    <row r="158" spans="9:17" ht="12.75">
      <c r="I158" s="74"/>
      <c r="J158" s="55"/>
      <c r="K158" s="55"/>
      <c r="L158" s="55"/>
      <c r="Q158" s="102"/>
    </row>
    <row r="159" spans="9:17" ht="12.75">
      <c r="I159" s="74"/>
      <c r="J159" s="55"/>
      <c r="K159" s="55"/>
      <c r="L159" s="55"/>
      <c r="Q159" s="102"/>
    </row>
    <row r="160" spans="9:17" ht="12.75">
      <c r="I160" s="74"/>
      <c r="J160" s="55"/>
      <c r="K160" s="55"/>
      <c r="L160" s="55"/>
      <c r="Q160" s="102"/>
    </row>
    <row r="161" spans="9:17" ht="12.75">
      <c r="I161" s="74"/>
      <c r="J161" s="55"/>
      <c r="K161" s="55"/>
      <c r="L161" s="55"/>
      <c r="Q161" s="102"/>
    </row>
    <row r="162" spans="9:17" ht="12.75">
      <c r="I162" s="74"/>
      <c r="J162" s="55"/>
      <c r="K162" s="55"/>
      <c r="L162" s="55"/>
      <c r="Q162" s="102"/>
    </row>
    <row r="163" spans="9:17" ht="12.75">
      <c r="I163" s="74"/>
      <c r="J163" s="55"/>
      <c r="K163" s="55"/>
      <c r="L163" s="55"/>
      <c r="Q163" s="102"/>
    </row>
    <row r="164" spans="9:17" ht="12.75">
      <c r="I164" s="74"/>
      <c r="J164" s="55"/>
      <c r="K164" s="55"/>
      <c r="L164" s="55"/>
      <c r="Q164" s="102"/>
    </row>
    <row r="165" spans="9:17" ht="12.75">
      <c r="I165" s="74"/>
      <c r="J165" s="55"/>
      <c r="K165" s="55"/>
      <c r="L165" s="55"/>
      <c r="Q165" s="102"/>
    </row>
    <row r="166" spans="9:17" ht="12.75">
      <c r="I166" s="74"/>
      <c r="J166" s="55"/>
      <c r="K166" s="55"/>
      <c r="L166" s="55"/>
      <c r="Q166" s="102"/>
    </row>
    <row r="167" spans="9:17" ht="12.75">
      <c r="I167" s="74"/>
      <c r="J167" s="55"/>
      <c r="K167" s="55"/>
      <c r="L167" s="55"/>
      <c r="Q167" s="102"/>
    </row>
    <row r="168" spans="9:17" ht="12.75">
      <c r="I168" s="74"/>
      <c r="J168" s="55"/>
      <c r="K168" s="55"/>
      <c r="L168" s="55"/>
      <c r="Q168" s="102"/>
    </row>
    <row r="169" spans="9:17" ht="12.75">
      <c r="I169" s="74"/>
      <c r="J169" s="55"/>
      <c r="K169" s="55"/>
      <c r="L169" s="55"/>
      <c r="Q169" s="102"/>
    </row>
    <row r="170" spans="9:17" ht="12.75">
      <c r="I170" s="74"/>
      <c r="J170" s="55"/>
      <c r="K170" s="55"/>
      <c r="L170" s="55"/>
      <c r="Q170" s="102"/>
    </row>
    <row r="171" spans="9:17" ht="12.75">
      <c r="I171" s="74"/>
      <c r="J171" s="55"/>
      <c r="K171" s="55"/>
      <c r="L171" s="55"/>
      <c r="Q171" s="102"/>
    </row>
    <row r="172" spans="9:17" ht="12.75">
      <c r="I172" s="74"/>
      <c r="J172" s="55"/>
      <c r="K172" s="55"/>
      <c r="L172" s="55"/>
      <c r="Q172" s="102"/>
    </row>
    <row r="173" spans="9:17" ht="12.75">
      <c r="I173" s="74"/>
      <c r="J173" s="55"/>
      <c r="K173" s="55"/>
      <c r="L173" s="55"/>
      <c r="Q173" s="102"/>
    </row>
    <row r="174" spans="9:17" ht="12.75">
      <c r="I174" s="74"/>
      <c r="J174" s="55"/>
      <c r="K174" s="55"/>
      <c r="L174" s="55"/>
      <c r="Q174" s="102"/>
    </row>
    <row r="175" spans="9:17" ht="12.75">
      <c r="I175" s="74"/>
      <c r="J175" s="55"/>
      <c r="K175" s="55"/>
      <c r="L175" s="55"/>
      <c r="Q175" s="102"/>
    </row>
    <row r="176" spans="9:17" ht="12.75">
      <c r="I176" s="74"/>
      <c r="J176" s="55"/>
      <c r="K176" s="55"/>
      <c r="L176" s="55"/>
      <c r="Q176" s="102"/>
    </row>
    <row r="177" spans="9:17" ht="12.75">
      <c r="I177" s="74"/>
      <c r="J177" s="55"/>
      <c r="K177" s="55"/>
      <c r="L177" s="55"/>
      <c r="Q177" s="102"/>
    </row>
    <row r="178" spans="9:17" ht="12.75">
      <c r="I178" s="74"/>
      <c r="J178" s="55"/>
      <c r="K178" s="55"/>
      <c r="L178" s="55"/>
      <c r="Q178" s="102"/>
    </row>
    <row r="179" spans="9:17" ht="12.75">
      <c r="I179" s="74"/>
      <c r="J179" s="55"/>
      <c r="K179" s="55"/>
      <c r="L179" s="55"/>
      <c r="Q179" s="102"/>
    </row>
    <row r="180" spans="9:17" ht="12.75">
      <c r="I180" s="74"/>
      <c r="J180" s="55"/>
      <c r="K180" s="55"/>
      <c r="L180" s="55"/>
      <c r="Q180" s="102"/>
    </row>
    <row r="181" spans="9:17" ht="12.75">
      <c r="I181" s="74"/>
      <c r="J181" s="55"/>
      <c r="K181" s="55"/>
      <c r="L181" s="55"/>
      <c r="Q181" s="102"/>
    </row>
    <row r="182" spans="9:17" ht="12.75">
      <c r="I182" s="74"/>
      <c r="J182" s="55"/>
      <c r="K182" s="55"/>
      <c r="L182" s="55"/>
      <c r="Q182" s="102"/>
    </row>
    <row r="183" spans="9:17" ht="12.75">
      <c r="I183" s="74"/>
      <c r="J183" s="55"/>
      <c r="K183" s="55"/>
      <c r="L183" s="55"/>
      <c r="Q183" s="102"/>
    </row>
    <row r="184" spans="9:17" ht="12.75">
      <c r="I184" s="74"/>
      <c r="J184" s="55"/>
      <c r="K184" s="55"/>
      <c r="L184" s="55"/>
      <c r="Q184" s="102"/>
    </row>
    <row r="185" spans="9:17" ht="12.75">
      <c r="I185" s="74"/>
      <c r="J185" s="55"/>
      <c r="K185" s="55"/>
      <c r="L185" s="55"/>
      <c r="Q185" s="102"/>
    </row>
    <row r="186" spans="9:17" ht="12.75">
      <c r="I186" s="74"/>
      <c r="J186" s="55"/>
      <c r="K186" s="55"/>
      <c r="L186" s="55"/>
      <c r="Q186" s="102"/>
    </row>
    <row r="187" spans="9:17" ht="12.75">
      <c r="I187" s="74"/>
      <c r="J187" s="55"/>
      <c r="K187" s="55"/>
      <c r="L187" s="55"/>
      <c r="Q187" s="102"/>
    </row>
    <row r="188" spans="9:17" ht="12.75">
      <c r="I188" s="74"/>
      <c r="J188" s="55"/>
      <c r="K188" s="55"/>
      <c r="L188" s="55"/>
      <c r="Q188" s="102"/>
    </row>
    <row r="189" spans="9:17" ht="12.75">
      <c r="I189" s="74"/>
      <c r="J189" s="55"/>
      <c r="K189" s="55"/>
      <c r="L189" s="55"/>
      <c r="Q189" s="102"/>
    </row>
    <row r="190" spans="9:17" ht="12.75">
      <c r="I190" s="74"/>
      <c r="J190" s="55"/>
      <c r="K190" s="55"/>
      <c r="L190" s="55"/>
      <c r="Q190" s="102"/>
    </row>
    <row r="191" spans="9:17" ht="12.75">
      <c r="I191" s="74"/>
      <c r="J191" s="55"/>
      <c r="K191" s="55"/>
      <c r="L191" s="55"/>
      <c r="Q191" s="102"/>
    </row>
    <row r="192" spans="9:17" ht="12.75">
      <c r="I192" s="74"/>
      <c r="J192" s="55"/>
      <c r="K192" s="55"/>
      <c r="L192" s="55"/>
      <c r="Q192" s="102"/>
    </row>
    <row r="193" spans="9:17" ht="12.75">
      <c r="I193" s="74"/>
      <c r="J193" s="55"/>
      <c r="K193" s="55"/>
      <c r="L193" s="55"/>
      <c r="Q193" s="102"/>
    </row>
    <row r="194" spans="9:17" ht="12.75">
      <c r="I194" s="74"/>
      <c r="J194" s="55"/>
      <c r="K194" s="55"/>
      <c r="L194" s="55"/>
      <c r="Q194" s="102"/>
    </row>
    <row r="195" spans="9:17" ht="12.75">
      <c r="I195" s="74"/>
      <c r="J195" s="55"/>
      <c r="K195" s="55"/>
      <c r="L195" s="55"/>
      <c r="Q195" s="102"/>
    </row>
    <row r="196" spans="9:17" ht="12.75">
      <c r="I196" s="74"/>
      <c r="J196" s="55"/>
      <c r="K196" s="55"/>
      <c r="L196" s="55"/>
      <c r="Q196" s="102"/>
    </row>
    <row r="197" spans="9:17" ht="12.75">
      <c r="I197" s="74"/>
      <c r="J197" s="55"/>
      <c r="K197" s="55"/>
      <c r="L197" s="55"/>
      <c r="Q197" s="102"/>
    </row>
    <row r="198" spans="9:17" ht="12.75">
      <c r="I198" s="74"/>
      <c r="J198" s="55"/>
      <c r="K198" s="55"/>
      <c r="L198" s="55"/>
      <c r="Q198" s="102"/>
    </row>
    <row r="199" spans="9:17" ht="12.75">
      <c r="I199" s="74"/>
      <c r="J199" s="55"/>
      <c r="K199" s="55"/>
      <c r="L199" s="55"/>
      <c r="Q199" s="102"/>
    </row>
    <row r="200" spans="9:17" ht="12.75">
      <c r="I200" s="74"/>
      <c r="J200" s="55"/>
      <c r="K200" s="55"/>
      <c r="L200" s="55"/>
      <c r="Q200" s="102"/>
    </row>
    <row r="201" spans="9:17" ht="12.75">
      <c r="I201" s="74"/>
      <c r="J201" s="55"/>
      <c r="K201" s="55"/>
      <c r="L201" s="55"/>
      <c r="Q201" s="102"/>
    </row>
    <row r="202" spans="9:17" ht="12.75">
      <c r="I202" s="74"/>
      <c r="J202" s="55"/>
      <c r="K202" s="55"/>
      <c r="L202" s="55"/>
      <c r="Q202" s="102"/>
    </row>
    <row r="203" spans="9:17" ht="12.75">
      <c r="I203" s="74"/>
      <c r="J203" s="55"/>
      <c r="K203" s="55"/>
      <c r="L203" s="55"/>
      <c r="Q203" s="102"/>
    </row>
    <row r="204" spans="9:17" ht="12.75">
      <c r="I204" s="74"/>
      <c r="J204" s="55"/>
      <c r="K204" s="55"/>
      <c r="L204" s="55"/>
      <c r="Q204" s="102"/>
    </row>
    <row r="205" spans="9:17" ht="12.75">
      <c r="I205" s="74"/>
      <c r="J205" s="55"/>
      <c r="K205" s="55"/>
      <c r="L205" s="55"/>
      <c r="Q205" s="102"/>
    </row>
    <row r="206" spans="9:17" ht="12.75">
      <c r="I206" s="74"/>
      <c r="J206" s="55"/>
      <c r="K206" s="55"/>
      <c r="L206" s="55"/>
      <c r="Q206" s="102"/>
    </row>
    <row r="207" spans="9:17" ht="12.75">
      <c r="I207" s="74"/>
      <c r="J207" s="55"/>
      <c r="K207" s="55"/>
      <c r="L207" s="55"/>
      <c r="Q207" s="102"/>
    </row>
    <row r="208" spans="9:17" ht="12.75">
      <c r="I208" s="74"/>
      <c r="J208" s="55"/>
      <c r="K208" s="55"/>
      <c r="L208" s="55"/>
      <c r="Q208" s="102"/>
    </row>
    <row r="209" spans="9:17" ht="12.75">
      <c r="I209" s="74"/>
      <c r="J209" s="55"/>
      <c r="K209" s="55"/>
      <c r="L209" s="55"/>
      <c r="Q209" s="102"/>
    </row>
    <row r="210" spans="9:17" ht="12.75">
      <c r="I210" s="74"/>
      <c r="J210" s="55"/>
      <c r="K210" s="55"/>
      <c r="L210" s="55"/>
      <c r="Q210" s="102"/>
    </row>
    <row r="211" spans="9:17" ht="12.75">
      <c r="I211" s="74"/>
      <c r="J211" s="55"/>
      <c r="K211" s="55"/>
      <c r="L211" s="55"/>
      <c r="Q211" s="102"/>
    </row>
    <row r="212" spans="9:17" ht="12.75">
      <c r="I212" s="74"/>
      <c r="J212" s="55"/>
      <c r="K212" s="55"/>
      <c r="L212" s="55"/>
      <c r="Q212" s="102"/>
    </row>
    <row r="213" spans="9:17" ht="12.75">
      <c r="I213" s="74"/>
      <c r="J213" s="55"/>
      <c r="K213" s="55"/>
      <c r="L213" s="55"/>
      <c r="Q213" s="102"/>
    </row>
    <row r="214" spans="9:17" ht="12.75">
      <c r="I214" s="74"/>
      <c r="J214" s="55"/>
      <c r="K214" s="55"/>
      <c r="L214" s="55"/>
      <c r="Q214" s="102"/>
    </row>
    <row r="215" spans="9:17" ht="12.75">
      <c r="I215" s="74"/>
      <c r="J215" s="55"/>
      <c r="K215" s="55"/>
      <c r="L215" s="55"/>
      <c r="Q215" s="102"/>
    </row>
    <row r="216" spans="9:17" ht="12.75">
      <c r="I216" s="74"/>
      <c r="J216" s="55"/>
      <c r="K216" s="55"/>
      <c r="L216" s="55"/>
      <c r="Q216" s="102"/>
    </row>
    <row r="217" spans="9:17" ht="12.75">
      <c r="I217" s="74"/>
      <c r="J217" s="55"/>
      <c r="K217" s="55"/>
      <c r="L217" s="55"/>
      <c r="Q217" s="102"/>
    </row>
    <row r="218" spans="9:17" ht="12.75">
      <c r="I218" s="74"/>
      <c r="J218" s="55"/>
      <c r="K218" s="55"/>
      <c r="L218" s="55"/>
      <c r="Q218" s="102"/>
    </row>
    <row r="219" spans="9:17" ht="12.75">
      <c r="I219" s="74"/>
      <c r="J219" s="55"/>
      <c r="K219" s="55"/>
      <c r="L219" s="55"/>
      <c r="Q219" s="102"/>
    </row>
    <row r="220" spans="9:17" ht="12.75">
      <c r="I220" s="74"/>
      <c r="J220" s="55"/>
      <c r="K220" s="55"/>
      <c r="L220" s="55"/>
      <c r="Q220" s="102"/>
    </row>
    <row r="221" spans="9:17" ht="12.75">
      <c r="I221" s="74"/>
      <c r="J221" s="55"/>
      <c r="K221" s="55"/>
      <c r="L221" s="55"/>
      <c r="Q221" s="102"/>
    </row>
    <row r="222" spans="9:17" ht="12.75">
      <c r="I222" s="74"/>
      <c r="J222" s="55"/>
      <c r="K222" s="55"/>
      <c r="L222" s="55"/>
      <c r="Q222" s="102"/>
    </row>
    <row r="223" spans="9:17" ht="12.75">
      <c r="I223" s="74"/>
      <c r="J223" s="55"/>
      <c r="K223" s="55"/>
      <c r="L223" s="55"/>
      <c r="Q223" s="102"/>
    </row>
    <row r="224" spans="9:17" ht="12.75">
      <c r="I224" s="74"/>
      <c r="J224" s="55"/>
      <c r="K224" s="55"/>
      <c r="L224" s="55"/>
      <c r="Q224" s="102"/>
    </row>
    <row r="225" spans="9:17" ht="12.75">
      <c r="I225" s="74"/>
      <c r="J225" s="55"/>
      <c r="K225" s="55"/>
      <c r="L225" s="55"/>
      <c r="Q225" s="102"/>
    </row>
    <row r="226" spans="9:17" ht="12.75">
      <c r="I226" s="74"/>
      <c r="J226" s="55"/>
      <c r="K226" s="55"/>
      <c r="L226" s="55"/>
      <c r="Q226" s="102"/>
    </row>
    <row r="227" spans="9:17" ht="12.75">
      <c r="I227" s="74"/>
      <c r="J227" s="55"/>
      <c r="K227" s="55"/>
      <c r="L227" s="55"/>
      <c r="Q227" s="102"/>
    </row>
    <row r="228" spans="9:17" ht="12.75">
      <c r="I228" s="74"/>
      <c r="J228" s="55"/>
      <c r="K228" s="55"/>
      <c r="L228" s="55"/>
      <c r="Q228" s="102"/>
    </row>
    <row r="229" spans="9:17" ht="12.75">
      <c r="I229" s="74"/>
      <c r="J229" s="55"/>
      <c r="K229" s="55"/>
      <c r="L229" s="55"/>
      <c r="Q229" s="102"/>
    </row>
    <row r="230" spans="9:17" ht="12.75">
      <c r="I230" s="74"/>
      <c r="J230" s="55"/>
      <c r="K230" s="55"/>
      <c r="L230" s="55"/>
      <c r="Q230" s="102"/>
    </row>
    <row r="231" spans="9:17" ht="12.75">
      <c r="I231" s="74"/>
      <c r="J231" s="55"/>
      <c r="K231" s="55"/>
      <c r="L231" s="55"/>
      <c r="Q231" s="102"/>
    </row>
    <row r="232" spans="9:17" ht="12.75">
      <c r="I232" s="74"/>
      <c r="J232" s="55"/>
      <c r="K232" s="55"/>
      <c r="L232" s="55"/>
      <c r="Q232" s="102"/>
    </row>
    <row r="233" spans="9:17" ht="12.75">
      <c r="I233" s="74"/>
      <c r="J233" s="55"/>
      <c r="K233" s="55"/>
      <c r="L233" s="55"/>
      <c r="Q233" s="102"/>
    </row>
    <row r="234" spans="9:17" ht="12.75">
      <c r="I234" s="74"/>
      <c r="J234" s="55"/>
      <c r="K234" s="55"/>
      <c r="L234" s="55"/>
      <c r="Q234" s="102"/>
    </row>
    <row r="235" spans="9:17" ht="12.75">
      <c r="I235" s="74"/>
      <c r="J235" s="55"/>
      <c r="K235" s="55"/>
      <c r="L235" s="55"/>
      <c r="Q235" s="102"/>
    </row>
    <row r="236" spans="9:17" ht="12.75">
      <c r="I236" s="74"/>
      <c r="J236" s="55"/>
      <c r="K236" s="55"/>
      <c r="L236" s="55"/>
      <c r="Q236" s="102"/>
    </row>
    <row r="237" spans="9:17" ht="12.75">
      <c r="I237" s="74"/>
      <c r="J237" s="55"/>
      <c r="K237" s="55"/>
      <c r="L237" s="55"/>
      <c r="Q237" s="102"/>
    </row>
    <row r="238" spans="9:17" ht="12.75">
      <c r="I238" s="74"/>
      <c r="J238" s="55"/>
      <c r="K238" s="55"/>
      <c r="L238" s="55"/>
      <c r="Q238" s="102"/>
    </row>
    <row r="239" spans="9:17" ht="12.75">
      <c r="I239" s="74"/>
      <c r="J239" s="55"/>
      <c r="K239" s="55"/>
      <c r="L239" s="55"/>
      <c r="Q239" s="102"/>
    </row>
    <row r="240" spans="9:17" ht="12.75">
      <c r="I240" s="74"/>
      <c r="J240" s="55"/>
      <c r="K240" s="55"/>
      <c r="L240" s="55"/>
      <c r="Q240" s="102"/>
    </row>
    <row r="241" spans="9:17" ht="12.75">
      <c r="I241" s="74"/>
      <c r="J241" s="55"/>
      <c r="K241" s="55"/>
      <c r="L241" s="55"/>
      <c r="Q241" s="102"/>
    </row>
    <row r="242" spans="9:17" ht="12.75">
      <c r="I242" s="74"/>
      <c r="J242" s="55"/>
      <c r="K242" s="55"/>
      <c r="L242" s="55"/>
      <c r="Q242" s="102"/>
    </row>
    <row r="243" spans="9:17" ht="12.75">
      <c r="I243" s="74"/>
      <c r="J243" s="55"/>
      <c r="K243" s="55"/>
      <c r="L243" s="55"/>
      <c r="Q243" s="102"/>
    </row>
    <row r="244" spans="9:17" ht="12.75">
      <c r="I244" s="74"/>
      <c r="J244" s="55"/>
      <c r="K244" s="55"/>
      <c r="L244" s="55"/>
      <c r="Q244" s="102"/>
    </row>
    <row r="245" spans="9:17" ht="12.75">
      <c r="I245" s="74"/>
      <c r="J245" s="55"/>
      <c r="K245" s="55"/>
      <c r="L245" s="55"/>
      <c r="Q245" s="102"/>
    </row>
    <row r="246" spans="9:17" ht="12.75">
      <c r="I246" s="74"/>
      <c r="J246" s="55"/>
      <c r="K246" s="55"/>
      <c r="L246" s="55"/>
      <c r="Q246" s="102"/>
    </row>
    <row r="247" spans="9:17" ht="12.75">
      <c r="I247" s="74"/>
      <c r="J247" s="55"/>
      <c r="K247" s="55"/>
      <c r="L247" s="55"/>
      <c r="Q247" s="102"/>
    </row>
    <row r="248" spans="9:17" ht="12.75">
      <c r="I248" s="74"/>
      <c r="J248" s="55"/>
      <c r="K248" s="55"/>
      <c r="L248" s="55"/>
      <c r="Q248" s="102"/>
    </row>
    <row r="249" spans="9:17" ht="12.75">
      <c r="I249" s="74"/>
      <c r="J249" s="55"/>
      <c r="K249" s="55"/>
      <c r="L249" s="55"/>
      <c r="Q249" s="102"/>
    </row>
    <row r="250" spans="9:17" ht="12.75">
      <c r="I250" s="74"/>
      <c r="J250" s="55"/>
      <c r="K250" s="55"/>
      <c r="L250" s="55"/>
      <c r="Q250" s="102"/>
    </row>
    <row r="251" spans="9:17" ht="12.75">
      <c r="I251" s="74"/>
      <c r="J251" s="55"/>
      <c r="K251" s="55"/>
      <c r="L251" s="55"/>
      <c r="Q251" s="102"/>
    </row>
    <row r="252" spans="9:17" ht="12.75">
      <c r="I252" s="74"/>
      <c r="J252" s="55"/>
      <c r="K252" s="55"/>
      <c r="L252" s="55"/>
      <c r="Q252" s="102"/>
    </row>
    <row r="253" spans="9:17" ht="12.75">
      <c r="I253" s="74"/>
      <c r="J253" s="55"/>
      <c r="K253" s="55"/>
      <c r="L253" s="55"/>
      <c r="Q253" s="102"/>
    </row>
    <row r="254" spans="9:17" ht="12.75">
      <c r="I254" s="74"/>
      <c r="J254" s="55"/>
      <c r="K254" s="55"/>
      <c r="L254" s="55"/>
      <c r="Q254" s="102"/>
    </row>
    <row r="255" spans="9:17" ht="12.75">
      <c r="I255" s="74"/>
      <c r="J255" s="55"/>
      <c r="K255" s="55"/>
      <c r="L255" s="55"/>
      <c r="Q255" s="102"/>
    </row>
    <row r="256" spans="9:17" ht="12.75">
      <c r="I256" s="74"/>
      <c r="J256" s="55"/>
      <c r="K256" s="55"/>
      <c r="L256" s="55"/>
      <c r="Q256" s="102"/>
    </row>
    <row r="257" spans="9:17" ht="12.75">
      <c r="I257" s="74"/>
      <c r="J257" s="55"/>
      <c r="K257" s="55"/>
      <c r="L257" s="55"/>
      <c r="Q257" s="102"/>
    </row>
    <row r="258" spans="9:17" ht="12.75">
      <c r="I258" s="74"/>
      <c r="J258" s="55"/>
      <c r="K258" s="55"/>
      <c r="L258" s="55"/>
      <c r="Q258" s="102"/>
    </row>
    <row r="259" spans="9:17" ht="12.75">
      <c r="I259" s="74"/>
      <c r="J259" s="55"/>
      <c r="K259" s="55"/>
      <c r="L259" s="55"/>
      <c r="Q259" s="102"/>
    </row>
    <row r="260" spans="9:17" ht="12.75">
      <c r="I260" s="74"/>
      <c r="J260" s="55"/>
      <c r="K260" s="55"/>
      <c r="L260" s="55"/>
      <c r="Q260" s="102"/>
    </row>
    <row r="261" spans="9:17" ht="12.75">
      <c r="I261" s="74"/>
      <c r="J261" s="55"/>
      <c r="K261" s="55"/>
      <c r="L261" s="55"/>
      <c r="Q261" s="102"/>
    </row>
    <row r="262" spans="9:17" ht="12.75">
      <c r="I262" s="74"/>
      <c r="J262" s="55"/>
      <c r="K262" s="55"/>
      <c r="L262" s="55"/>
      <c r="Q262" s="102"/>
    </row>
    <row r="263" spans="9:17" ht="12.75">
      <c r="I263" s="74"/>
      <c r="J263" s="55"/>
      <c r="K263" s="55"/>
      <c r="L263" s="55"/>
      <c r="Q263" s="102"/>
    </row>
    <row r="264" spans="9:17" ht="12.75">
      <c r="I264" s="74"/>
      <c r="J264" s="55"/>
      <c r="K264" s="55"/>
      <c r="L264" s="55"/>
      <c r="Q264" s="102"/>
    </row>
    <row r="265" spans="9:17" ht="12.75">
      <c r="I265" s="74"/>
      <c r="J265" s="55"/>
      <c r="K265" s="55"/>
      <c r="L265" s="55"/>
      <c r="Q265" s="102"/>
    </row>
    <row r="266" spans="9:17" ht="12.75">
      <c r="I266" s="74"/>
      <c r="J266" s="55"/>
      <c r="K266" s="55"/>
      <c r="L266" s="55"/>
      <c r="Q266" s="102"/>
    </row>
    <row r="267" spans="9:17" ht="12.75">
      <c r="I267" s="74"/>
      <c r="J267" s="55"/>
      <c r="K267" s="55"/>
      <c r="L267" s="55"/>
      <c r="Q267" s="102"/>
    </row>
    <row r="268" spans="9:17" ht="12.75">
      <c r="I268" s="74"/>
      <c r="J268" s="55"/>
      <c r="K268" s="55"/>
      <c r="L268" s="55"/>
      <c r="Q268" s="102"/>
    </row>
    <row r="269" spans="9:17" ht="12.75">
      <c r="I269" s="74"/>
      <c r="J269" s="55"/>
      <c r="K269" s="55"/>
      <c r="L269" s="55"/>
      <c r="Q269" s="102"/>
    </row>
    <row r="270" spans="9:17" ht="12.75">
      <c r="I270" s="74"/>
      <c r="J270" s="55"/>
      <c r="K270" s="55"/>
      <c r="L270" s="55"/>
      <c r="Q270" s="102"/>
    </row>
    <row r="271" spans="9:17" ht="12.75">
      <c r="I271" s="74"/>
      <c r="J271" s="55"/>
      <c r="K271" s="55"/>
      <c r="L271" s="55"/>
      <c r="Q271" s="102"/>
    </row>
    <row r="272" spans="9:17" ht="12.75">
      <c r="I272" s="74"/>
      <c r="J272" s="55"/>
      <c r="K272" s="55"/>
      <c r="L272" s="55"/>
      <c r="Q272" s="102"/>
    </row>
    <row r="273" spans="9:17" ht="12.75">
      <c r="I273" s="74"/>
      <c r="J273" s="55"/>
      <c r="K273" s="55"/>
      <c r="L273" s="55"/>
      <c r="Q273" s="102"/>
    </row>
    <row r="274" spans="9:17" ht="12.75">
      <c r="I274" s="74"/>
      <c r="J274" s="55"/>
      <c r="K274" s="55"/>
      <c r="L274" s="55"/>
      <c r="Q274" s="102"/>
    </row>
    <row r="275" spans="9:17" ht="12.75">
      <c r="I275" s="74"/>
      <c r="J275" s="55"/>
      <c r="K275" s="55"/>
      <c r="L275" s="55"/>
      <c r="Q275" s="102"/>
    </row>
    <row r="276" spans="9:17" ht="12.75">
      <c r="I276" s="74"/>
      <c r="J276" s="55"/>
      <c r="K276" s="55"/>
      <c r="L276" s="55"/>
      <c r="Q276" s="102"/>
    </row>
    <row r="277" spans="9:17" ht="12.75">
      <c r="I277" s="74"/>
      <c r="J277" s="55"/>
      <c r="K277" s="55"/>
      <c r="L277" s="55"/>
      <c r="Q277" s="102"/>
    </row>
    <row r="278" spans="9:17" ht="12.75">
      <c r="I278" s="74"/>
      <c r="J278" s="55"/>
      <c r="K278" s="55"/>
      <c r="L278" s="55"/>
      <c r="Q278" s="102"/>
    </row>
    <row r="279" spans="9:17" ht="12.75">
      <c r="I279" s="74"/>
      <c r="J279" s="55"/>
      <c r="K279" s="55"/>
      <c r="L279" s="55"/>
      <c r="Q279" s="102"/>
    </row>
    <row r="280" spans="9:17" ht="12.75">
      <c r="I280" s="74"/>
      <c r="J280" s="55"/>
      <c r="K280" s="55"/>
      <c r="L280" s="55"/>
      <c r="Q280" s="102"/>
    </row>
    <row r="281" spans="9:17" ht="12.75">
      <c r="I281" s="74"/>
      <c r="J281" s="55"/>
      <c r="K281" s="55"/>
      <c r="L281" s="55"/>
      <c r="Q281" s="102"/>
    </row>
    <row r="282" spans="9:17" ht="12.75">
      <c r="I282" s="74"/>
      <c r="J282" s="55"/>
      <c r="K282" s="55"/>
      <c r="L282" s="55"/>
      <c r="Q282" s="102"/>
    </row>
    <row r="283" spans="9:17" ht="12.75">
      <c r="I283" s="74"/>
      <c r="J283" s="55"/>
      <c r="K283" s="55"/>
      <c r="L283" s="55"/>
      <c r="Q283" s="102"/>
    </row>
    <row r="284" spans="9:17" ht="12.75">
      <c r="I284" s="74"/>
      <c r="J284" s="55"/>
      <c r="K284" s="55"/>
      <c r="L284" s="55"/>
      <c r="Q284" s="102"/>
    </row>
    <row r="285" spans="9:17" ht="12.75">
      <c r="I285" s="74"/>
      <c r="J285" s="55"/>
      <c r="K285" s="55"/>
      <c r="L285" s="55"/>
      <c r="Q285" s="102"/>
    </row>
    <row r="286" spans="9:17" ht="12.75">
      <c r="I286" s="74"/>
      <c r="J286" s="55"/>
      <c r="K286" s="55"/>
      <c r="L286" s="55"/>
      <c r="Q286" s="102"/>
    </row>
    <row r="287" spans="9:17" ht="12.75">
      <c r="I287" s="74"/>
      <c r="J287" s="55"/>
      <c r="K287" s="55"/>
      <c r="L287" s="55"/>
      <c r="Q287" s="102"/>
    </row>
    <row r="288" spans="9:17" ht="12.75">
      <c r="I288" s="74"/>
      <c r="J288" s="55"/>
      <c r="K288" s="55"/>
      <c r="L288" s="55"/>
      <c r="Q288" s="102"/>
    </row>
    <row r="289" spans="9:17" ht="12.75">
      <c r="I289" s="74"/>
      <c r="J289" s="55"/>
      <c r="K289" s="55"/>
      <c r="L289" s="55"/>
      <c r="Q289" s="102"/>
    </row>
    <row r="290" spans="9:17" ht="12.75">
      <c r="I290" s="74"/>
      <c r="J290" s="55"/>
      <c r="K290" s="55"/>
      <c r="L290" s="55"/>
      <c r="Q290" s="102"/>
    </row>
    <row r="291" spans="9:17" ht="12.75">
      <c r="I291" s="74"/>
      <c r="J291" s="55"/>
      <c r="K291" s="55"/>
      <c r="L291" s="55"/>
      <c r="Q291" s="102"/>
    </row>
    <row r="292" spans="9:17" ht="12.75">
      <c r="I292" s="74"/>
      <c r="J292" s="55"/>
      <c r="K292" s="55"/>
      <c r="L292" s="55"/>
      <c r="Q292" s="102"/>
    </row>
    <row r="293" spans="9:17" ht="12.75">
      <c r="I293" s="74"/>
      <c r="J293" s="55"/>
      <c r="K293" s="55"/>
      <c r="L293" s="55"/>
      <c r="Q293" s="102"/>
    </row>
    <row r="294" spans="9:17" ht="12.75">
      <c r="I294" s="74"/>
      <c r="J294" s="55"/>
      <c r="K294" s="55"/>
      <c r="L294" s="55"/>
      <c r="Q294" s="102"/>
    </row>
    <row r="295" spans="9:17" ht="12.75">
      <c r="I295" s="74"/>
      <c r="J295" s="55"/>
      <c r="K295" s="55"/>
      <c r="L295" s="55"/>
      <c r="Q295" s="102"/>
    </row>
    <row r="296" spans="9:17" ht="12.75">
      <c r="I296" s="74"/>
      <c r="J296" s="55"/>
      <c r="K296" s="55"/>
      <c r="L296" s="55"/>
      <c r="Q296" s="102"/>
    </row>
    <row r="297" spans="9:17" ht="12.75">
      <c r="I297" s="74"/>
      <c r="J297" s="55"/>
      <c r="K297" s="55"/>
      <c r="L297" s="55"/>
      <c r="Q297" s="102"/>
    </row>
    <row r="298" spans="9:17" ht="12.75">
      <c r="I298" s="74"/>
      <c r="J298" s="55"/>
      <c r="K298" s="55"/>
      <c r="L298" s="55"/>
      <c r="Q298" s="102"/>
    </row>
    <row r="299" spans="9:17" ht="12.75">
      <c r="I299" s="74"/>
      <c r="J299" s="55"/>
      <c r="K299" s="55"/>
      <c r="L299" s="55"/>
      <c r="Q299" s="102"/>
    </row>
    <row r="300" spans="9:17" ht="12.75">
      <c r="I300" s="74"/>
      <c r="J300" s="55"/>
      <c r="K300" s="55"/>
      <c r="L300" s="55"/>
      <c r="Q300" s="102"/>
    </row>
    <row r="301" spans="9:17" ht="12.75">
      <c r="I301" s="74"/>
      <c r="J301" s="55"/>
      <c r="K301" s="55"/>
      <c r="L301" s="55"/>
      <c r="Q301" s="102"/>
    </row>
    <row r="302" spans="9:17" ht="12.75">
      <c r="I302" s="74"/>
      <c r="J302" s="55"/>
      <c r="K302" s="55"/>
      <c r="L302" s="55"/>
      <c r="Q302" s="102"/>
    </row>
    <row r="303" spans="9:17" ht="12.75">
      <c r="I303" s="74"/>
      <c r="J303" s="55"/>
      <c r="K303" s="55"/>
      <c r="L303" s="55"/>
      <c r="Q303" s="102"/>
    </row>
    <row r="304" spans="9:17" ht="12.75">
      <c r="I304" s="74"/>
      <c r="J304" s="55"/>
      <c r="K304" s="55"/>
      <c r="L304" s="55"/>
      <c r="Q304" s="102"/>
    </row>
    <row r="305" spans="9:17" ht="12.75">
      <c r="I305" s="74"/>
      <c r="J305" s="55"/>
      <c r="K305" s="55"/>
      <c r="L305" s="55"/>
      <c r="Q305" s="102"/>
    </row>
    <row r="306" spans="9:17" ht="12.75">
      <c r="I306" s="74"/>
      <c r="J306" s="55"/>
      <c r="K306" s="55"/>
      <c r="L306" s="55"/>
      <c r="Q306" s="102"/>
    </row>
    <row r="307" spans="9:17" ht="12.75">
      <c r="I307" s="74"/>
      <c r="J307" s="55"/>
      <c r="K307" s="55"/>
      <c r="L307" s="55"/>
      <c r="Q307" s="102"/>
    </row>
    <row r="308" spans="9:17" ht="12.75">
      <c r="I308" s="74"/>
      <c r="J308" s="55"/>
      <c r="K308" s="55"/>
      <c r="L308" s="55"/>
      <c r="Q308" s="102"/>
    </row>
    <row r="309" spans="9:17" ht="12.75">
      <c r="I309" s="74"/>
      <c r="J309" s="55"/>
      <c r="K309" s="55"/>
      <c r="L309" s="55"/>
      <c r="Q309" s="102"/>
    </row>
    <row r="310" spans="9:17" ht="12.75">
      <c r="I310" s="74"/>
      <c r="J310" s="55"/>
      <c r="K310" s="55"/>
      <c r="L310" s="55"/>
      <c r="Q310" s="102"/>
    </row>
    <row r="311" spans="9:17" ht="12.75">
      <c r="I311" s="74"/>
      <c r="J311" s="55"/>
      <c r="K311" s="55"/>
      <c r="L311" s="55"/>
      <c r="Q311" s="102"/>
    </row>
    <row r="312" spans="9:17" ht="12.75">
      <c r="I312" s="74"/>
      <c r="J312" s="55"/>
      <c r="K312" s="55"/>
      <c r="L312" s="55"/>
      <c r="Q312" s="102"/>
    </row>
    <row r="313" spans="9:17" ht="12.75">
      <c r="I313" s="74"/>
      <c r="J313" s="55"/>
      <c r="K313" s="55"/>
      <c r="L313" s="55"/>
      <c r="Q313" s="102"/>
    </row>
    <row r="314" spans="9:17" ht="12.75">
      <c r="I314" s="74"/>
      <c r="J314" s="55"/>
      <c r="K314" s="55"/>
      <c r="L314" s="55"/>
      <c r="Q314" s="102"/>
    </row>
    <row r="315" spans="9:17" ht="12.75">
      <c r="I315" s="74"/>
      <c r="J315" s="55"/>
      <c r="K315" s="55"/>
      <c r="L315" s="55"/>
      <c r="Q315" s="102"/>
    </row>
    <row r="316" spans="9:17" ht="12.75">
      <c r="I316" s="74"/>
      <c r="J316" s="55"/>
      <c r="K316" s="55"/>
      <c r="L316" s="55"/>
      <c r="Q316" s="102"/>
    </row>
    <row r="317" spans="9:17" ht="12.75">
      <c r="I317" s="74"/>
      <c r="J317" s="55"/>
      <c r="K317" s="55"/>
      <c r="L317" s="55"/>
      <c r="Q317" s="102"/>
    </row>
    <row r="318" spans="9:17" ht="12.75">
      <c r="I318" s="74"/>
      <c r="J318" s="55"/>
      <c r="K318" s="55"/>
      <c r="L318" s="55"/>
      <c r="Q318" s="102"/>
    </row>
    <row r="319" spans="9:17" ht="12.75">
      <c r="I319" s="74"/>
      <c r="J319" s="55"/>
      <c r="K319" s="55"/>
      <c r="L319" s="55"/>
      <c r="Q319" s="102"/>
    </row>
    <row r="320" spans="9:17" ht="12.75">
      <c r="I320" s="74"/>
      <c r="J320" s="55"/>
      <c r="K320" s="55"/>
      <c r="L320" s="55"/>
      <c r="Q320" s="102"/>
    </row>
    <row r="321" spans="9:17" ht="12.75">
      <c r="I321" s="74"/>
      <c r="J321" s="55"/>
      <c r="K321" s="55"/>
      <c r="L321" s="55"/>
      <c r="Q321" s="102"/>
    </row>
    <row r="322" spans="9:17" ht="12.75">
      <c r="I322" s="74"/>
      <c r="J322" s="55"/>
      <c r="K322" s="55"/>
      <c r="L322" s="55"/>
      <c r="Q322" s="102"/>
    </row>
    <row r="323" spans="9:17" ht="12.75">
      <c r="I323" s="74"/>
      <c r="J323" s="55"/>
      <c r="K323" s="55"/>
      <c r="L323" s="55"/>
      <c r="Q323" s="102"/>
    </row>
    <row r="324" spans="9:17" ht="12.75">
      <c r="I324" s="74"/>
      <c r="J324" s="55"/>
      <c r="K324" s="55"/>
      <c r="L324" s="55"/>
      <c r="Q324" s="102"/>
    </row>
  </sheetData>
  <sheetProtection sheet="1" objects="1" scenarios="1"/>
  <mergeCells count="1">
    <mergeCell ref="A1:N1"/>
  </mergeCells>
  <hyperlinks>
    <hyperlink ref="N7" r:id="rId1" display="BBlue@any.com"/>
    <hyperlink ref="N10" r:id="rId2" display="mmustard@your.com"/>
    <hyperlink ref="N12" r:id="rId3" display="Ppurple@us.com"/>
  </hyperlinks>
  <printOptions/>
  <pageMargins left="0.75" right="0.75" top="1" bottom="1" header="0.5" footer="0.5"/>
  <pageSetup horizontalDpi="600" verticalDpi="600" orientation="portrait" r:id="rId5"/>
  <legacyDrawing r:id="rId4"/>
</worksheet>
</file>

<file path=xl/worksheets/sheet9.xml><?xml version="1.0" encoding="utf-8"?>
<worksheet xmlns="http://schemas.openxmlformats.org/spreadsheetml/2006/main" xmlns:r="http://schemas.openxmlformats.org/officeDocument/2006/relationships">
  <sheetPr codeName="Biorhythm"/>
  <dimension ref="A1:P44"/>
  <sheetViews>
    <sheetView zoomScalePageLayoutView="0" workbookViewId="0" topLeftCell="A1">
      <selection activeCell="C5" sqref="C5"/>
    </sheetView>
  </sheetViews>
  <sheetFormatPr defaultColWidth="9.140625" defaultRowHeight="12.75"/>
  <cols>
    <col min="3" max="3" width="27.421875" style="0" customWidth="1"/>
    <col min="5" max="5" width="10.7109375" style="0" customWidth="1"/>
  </cols>
  <sheetData>
    <row r="1" spans="1:14" ht="12.75">
      <c r="A1" s="3"/>
      <c r="B1" s="3"/>
      <c r="C1" s="3"/>
      <c r="D1" s="3"/>
      <c r="E1" s="3"/>
      <c r="F1" s="3"/>
      <c r="G1" s="3"/>
      <c r="H1" s="3"/>
      <c r="I1" s="3"/>
      <c r="J1" s="3"/>
      <c r="K1" s="3"/>
      <c r="L1" s="3"/>
      <c r="M1" s="3"/>
      <c r="N1" s="3"/>
    </row>
    <row r="2" spans="1:14" ht="12.75">
      <c r="A2" s="3" t="s">
        <v>205</v>
      </c>
      <c r="B2" s="3"/>
      <c r="C2" s="3"/>
      <c r="D2" s="3"/>
      <c r="E2" s="3"/>
      <c r="F2" s="3"/>
      <c r="G2" s="3"/>
      <c r="H2" s="3"/>
      <c r="I2" s="3"/>
      <c r="J2" s="3"/>
      <c r="K2" s="3"/>
      <c r="L2" s="3"/>
      <c r="M2" s="3"/>
      <c r="N2" s="3"/>
    </row>
    <row r="3" spans="1:14" ht="12.75">
      <c r="A3" s="3" t="s">
        <v>208</v>
      </c>
      <c r="B3" s="3"/>
      <c r="C3" s="3"/>
      <c r="D3" s="3"/>
      <c r="E3" s="3"/>
      <c r="F3" s="3"/>
      <c r="G3" s="3"/>
      <c r="H3" s="3"/>
      <c r="I3" s="3"/>
      <c r="J3" s="3"/>
      <c r="K3" s="3"/>
      <c r="L3" s="3"/>
      <c r="M3" s="3"/>
      <c r="N3" s="3"/>
    </row>
    <row r="4" spans="1:14" ht="12.75">
      <c r="A4" s="3"/>
      <c r="B4" s="3"/>
      <c r="C4" s="3"/>
      <c r="D4" s="3"/>
      <c r="E4" s="3"/>
      <c r="F4" s="3"/>
      <c r="G4" s="3"/>
      <c r="H4" s="3"/>
      <c r="I4" s="3"/>
      <c r="J4" s="3"/>
      <c r="K4" s="3"/>
      <c r="L4" s="3"/>
      <c r="M4" s="3"/>
      <c r="N4" s="3"/>
    </row>
    <row r="5" spans="1:14" ht="15.75">
      <c r="A5" s="3"/>
      <c r="B5" s="3"/>
      <c r="C5" s="80" t="s">
        <v>1</v>
      </c>
      <c r="D5" s="3"/>
      <c r="E5" s="79" t="s">
        <v>206</v>
      </c>
      <c r="F5" s="195"/>
      <c r="G5" s="195"/>
      <c r="H5" s="79" t="s">
        <v>207</v>
      </c>
      <c r="I5" s="196"/>
      <c r="J5" s="196"/>
      <c r="K5" s="3"/>
      <c r="L5" s="3"/>
      <c r="M5" s="3"/>
      <c r="N5" s="3"/>
    </row>
    <row r="6" spans="1:14" ht="12.75">
      <c r="A6" s="3"/>
      <c r="B6" s="3"/>
      <c r="C6" s="3"/>
      <c r="D6" s="3"/>
      <c r="E6" s="3"/>
      <c r="F6" s="3"/>
      <c r="G6" s="3"/>
      <c r="H6" s="3"/>
      <c r="I6" s="3"/>
      <c r="J6" s="3"/>
      <c r="K6" s="3"/>
      <c r="L6" s="3"/>
      <c r="M6" s="3"/>
      <c r="N6" s="3"/>
    </row>
    <row r="7" spans="1:14" ht="12.75">
      <c r="A7" s="3"/>
      <c r="B7" s="3"/>
      <c r="C7" s="3"/>
      <c r="D7" s="3"/>
      <c r="E7" s="3"/>
      <c r="F7" s="3"/>
      <c r="G7" s="3"/>
      <c r="H7" s="3"/>
      <c r="I7" s="3"/>
      <c r="J7" s="3"/>
      <c r="K7" s="3"/>
      <c r="L7" s="3"/>
      <c r="M7" s="3"/>
      <c r="N7" s="3"/>
    </row>
    <row r="8" spans="1:14" ht="12.75">
      <c r="A8" s="10"/>
      <c r="B8" s="10"/>
      <c r="C8" s="10"/>
      <c r="D8" s="10"/>
      <c r="E8" s="10"/>
      <c r="F8" s="10"/>
      <c r="G8" s="10"/>
      <c r="H8" s="10"/>
      <c r="I8" s="10"/>
      <c r="J8" s="10"/>
      <c r="K8" s="10"/>
      <c r="L8" s="10"/>
      <c r="M8" s="10"/>
      <c r="N8" s="10"/>
    </row>
    <row r="9" spans="1:16" ht="29.25" customHeight="1">
      <c r="A9" s="194" t="str">
        <f>"Biorhythm Chart for "&amp;BioCurrentName</f>
        <v>Biorhythm Chart for Ray Thomas</v>
      </c>
      <c r="B9" s="194"/>
      <c r="C9" s="194"/>
      <c r="D9" s="194"/>
      <c r="E9" s="194"/>
      <c r="F9" s="194"/>
      <c r="G9" s="194"/>
      <c r="H9" s="194"/>
      <c r="I9" s="194"/>
      <c r="J9" s="194"/>
      <c r="K9" s="194"/>
      <c r="L9" s="194"/>
      <c r="M9" s="194"/>
      <c r="N9" s="77"/>
      <c r="O9" s="78"/>
      <c r="P9" s="9"/>
    </row>
    <row r="10" spans="1:16" ht="12.75">
      <c r="A10" s="10"/>
      <c r="B10" s="10"/>
      <c r="C10" s="10"/>
      <c r="D10" s="10"/>
      <c r="E10" s="10"/>
      <c r="F10" s="10"/>
      <c r="G10" s="10"/>
      <c r="H10" s="10"/>
      <c r="I10" s="10"/>
      <c r="J10" s="10"/>
      <c r="K10" s="10"/>
      <c r="L10" s="10"/>
      <c r="M10" s="10"/>
      <c r="N10" s="10"/>
      <c r="O10" s="9"/>
      <c r="P10" s="9"/>
    </row>
    <row r="11" spans="1:16" ht="12.75">
      <c r="A11" s="9"/>
      <c r="B11" s="9"/>
      <c r="C11" s="9"/>
      <c r="D11" s="9"/>
      <c r="E11" s="9"/>
      <c r="F11" s="9"/>
      <c r="G11" s="9"/>
      <c r="H11" s="9"/>
      <c r="I11" s="9"/>
      <c r="J11" s="9"/>
      <c r="K11" s="9"/>
      <c r="L11" s="9"/>
      <c r="M11" s="9"/>
      <c r="N11" s="9"/>
      <c r="O11" s="9"/>
      <c r="P11" s="9"/>
    </row>
    <row r="12" spans="1:16" ht="12.75">
      <c r="A12" s="9"/>
      <c r="B12" s="9"/>
      <c r="C12" s="9"/>
      <c r="D12" s="9"/>
      <c r="E12" s="9"/>
      <c r="F12" s="9"/>
      <c r="G12" s="9"/>
      <c r="H12" s="9"/>
      <c r="I12" s="9"/>
      <c r="J12" s="9"/>
      <c r="K12" s="9"/>
      <c r="L12" s="9"/>
      <c r="M12" s="9"/>
      <c r="N12" s="9"/>
      <c r="O12" s="9"/>
      <c r="P12" s="9"/>
    </row>
    <row r="13" spans="1:16" ht="12.75">
      <c r="A13" s="9"/>
      <c r="B13" s="9"/>
      <c r="C13" s="9"/>
      <c r="D13" s="9"/>
      <c r="E13" s="9"/>
      <c r="F13" s="9"/>
      <c r="G13" s="9"/>
      <c r="H13" s="9"/>
      <c r="I13" s="9"/>
      <c r="J13" s="9"/>
      <c r="K13" s="9"/>
      <c r="L13" s="9"/>
      <c r="M13" s="9"/>
      <c r="N13" s="9"/>
      <c r="O13" s="9"/>
      <c r="P13" s="9"/>
    </row>
    <row r="14" spans="1:16" ht="12.75">
      <c r="A14" s="9"/>
      <c r="B14" s="9"/>
      <c r="C14" s="9"/>
      <c r="D14" s="9"/>
      <c r="E14" s="9"/>
      <c r="F14" s="9"/>
      <c r="G14" s="9"/>
      <c r="H14" s="9"/>
      <c r="I14" s="9"/>
      <c r="J14" s="9"/>
      <c r="K14" s="9"/>
      <c r="L14" s="9"/>
      <c r="M14" s="9"/>
      <c r="N14" s="9"/>
      <c r="O14" s="9"/>
      <c r="P14" s="9"/>
    </row>
    <row r="15" spans="1:16" ht="12.75">
      <c r="A15" s="9"/>
      <c r="B15" s="9"/>
      <c r="C15" s="9"/>
      <c r="D15" s="9"/>
      <c r="E15" s="9"/>
      <c r="F15" s="9"/>
      <c r="G15" s="9"/>
      <c r="H15" s="9"/>
      <c r="I15" s="9"/>
      <c r="J15" s="9"/>
      <c r="K15" s="9"/>
      <c r="L15" s="9"/>
      <c r="M15" s="9"/>
      <c r="N15" s="9"/>
      <c r="O15" s="9"/>
      <c r="P15" s="9"/>
    </row>
    <row r="16" spans="1:16" ht="12.75">
      <c r="A16" s="9"/>
      <c r="B16" s="9"/>
      <c r="C16" s="9"/>
      <c r="D16" s="9"/>
      <c r="E16" s="9"/>
      <c r="F16" s="9"/>
      <c r="G16" s="9"/>
      <c r="H16" s="9"/>
      <c r="I16" s="9"/>
      <c r="J16" s="9"/>
      <c r="K16" s="9"/>
      <c r="L16" s="9"/>
      <c r="M16" s="9"/>
      <c r="N16" s="9"/>
      <c r="O16" s="9"/>
      <c r="P16" s="9"/>
    </row>
    <row r="43" spans="1:14" ht="12.75">
      <c r="A43" s="3" t="s">
        <v>261</v>
      </c>
      <c r="B43" s="3"/>
      <c r="C43" s="3"/>
      <c r="D43" s="3"/>
      <c r="E43" s="3"/>
      <c r="F43" s="3"/>
      <c r="G43" s="3"/>
      <c r="H43" s="3"/>
      <c r="I43" s="3"/>
      <c r="J43" s="3"/>
      <c r="K43" s="3"/>
      <c r="L43" s="3"/>
      <c r="M43" s="3"/>
      <c r="N43" s="3"/>
    </row>
    <row r="44" spans="1:14" ht="12.75">
      <c r="A44" s="3"/>
      <c r="B44" s="3"/>
      <c r="C44" s="3"/>
      <c r="D44" s="3"/>
      <c r="E44" s="3"/>
      <c r="F44" s="3"/>
      <c r="G44" s="3"/>
      <c r="H44" s="3"/>
      <c r="I44" s="3"/>
      <c r="J44" s="3"/>
      <c r="K44" s="3"/>
      <c r="L44" s="3"/>
      <c r="M44" s="3"/>
      <c r="N44" s="3"/>
    </row>
  </sheetData>
  <sheetProtection sheet="1" objects="1" scenarios="1" selectLockedCells="1"/>
  <mergeCells count="3">
    <mergeCell ref="A9:M9"/>
    <mergeCell ref="F5:G5"/>
    <mergeCell ref="I5:J5"/>
  </mergeCells>
  <dataValidations count="3">
    <dataValidation type="list" allowBlank="1" showInputMessage="1" showErrorMessage="1" sqref="C5">
      <formula1>BioNames</formula1>
    </dataValidation>
    <dataValidation type="date" operator="greaterThan" allowBlank="1" showInputMessage="1" showErrorMessage="1" promptTitle="Date of Birth" prompt="Please enter the date of birth" errorTitle="Date Error" error="You cannot enter anything other than a date here! The date must be not be prior to 1901." sqref="I5:J5">
      <formula1>366</formula1>
    </dataValidation>
    <dataValidation showInputMessage="1" showErrorMessage="1" promptTitle="New Name" prompt="Please enter the name you'd like to add to the list of people the chart can be produced for." sqref="F5:G5"/>
  </dataValidations>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Thomas</dc:creator>
  <cp:keywords/>
  <dc:description/>
  <cp:lastModifiedBy>brisray</cp:lastModifiedBy>
  <dcterms:created xsi:type="dcterms:W3CDTF">2004-06-08T01:08:21Z</dcterms:created>
  <dcterms:modified xsi:type="dcterms:W3CDTF">2011-02-03T01:01:23Z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